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YOKOGAWA\选型工具\"/>
    </mc:Choice>
  </mc:AlternateContent>
  <xr:revisionPtr revIDLastSave="0" documentId="13_ncr:1_{9CD1CA64-23C0-4A47-8916-36CC90AC38BF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Data entry" sheetId="1" r:id="rId1"/>
    <sheet name="Sheet1" sheetId="12" r:id="rId2"/>
    <sheet name="AXG Accuracy Estimation" sheetId="11" r:id="rId3"/>
    <sheet name="AXG Calculator" sheetId="7" r:id="rId4"/>
  </sheets>
  <definedNames>
    <definedName name="_xlnm.Print_Area" localSheetId="2">'AXG Accuracy Estimation'!$A$1:$I$51</definedName>
    <definedName name="size">'Data entry'!$B$12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9" i="1"/>
  <c r="D5" i="7"/>
  <c r="C11" i="11"/>
  <c r="C10" i="11"/>
  <c r="D10" i="1"/>
  <c r="D8" i="1"/>
  <c r="C39" i="1"/>
  <c r="D39" i="1"/>
  <c r="K39" i="1" s="1"/>
  <c r="C38" i="1"/>
  <c r="C37" i="1"/>
  <c r="D37" i="1" s="1"/>
  <c r="C36" i="1"/>
  <c r="D36" i="1" s="1"/>
  <c r="C35" i="1"/>
  <c r="D35" i="1" s="1"/>
  <c r="C34" i="1"/>
  <c r="C33" i="1"/>
  <c r="C32" i="1"/>
  <c r="D32" i="1" s="1"/>
  <c r="C31" i="1"/>
  <c r="D31" i="1" s="1"/>
  <c r="C30" i="1"/>
  <c r="D30" i="1" s="1"/>
  <c r="C29" i="1"/>
  <c r="C28" i="1"/>
  <c r="C27" i="1"/>
  <c r="D27" i="1" s="1"/>
  <c r="C26" i="1"/>
  <c r="C25" i="1"/>
  <c r="D25" i="1" s="1"/>
  <c r="C24" i="1"/>
  <c r="C23" i="1"/>
  <c r="C22" i="1"/>
  <c r="C21" i="1"/>
  <c r="D21" i="1" s="1"/>
  <c r="A69" i="1"/>
  <c r="B6" i="1" s="1"/>
  <c r="C7" i="11" s="1"/>
  <c r="E12" i="1"/>
  <c r="C5" i="7"/>
  <c r="C6" i="7"/>
  <c r="N6" i="7" s="1"/>
  <c r="U6" i="7"/>
  <c r="C3" i="7"/>
  <c r="U5" i="7" s="1"/>
  <c r="B17" i="1"/>
  <c r="D28" i="1"/>
  <c r="J28" i="1"/>
  <c r="C9" i="11"/>
  <c r="D22" i="1"/>
  <c r="K22" i="1" s="1"/>
  <c r="F22" i="1"/>
  <c r="D23" i="1"/>
  <c r="E23" i="1" s="1"/>
  <c r="D24" i="1"/>
  <c r="J24" i="1" s="1"/>
  <c r="D26" i="1"/>
  <c r="H26" i="1" s="1"/>
  <c r="D38" i="1"/>
  <c r="K38" i="1" s="1"/>
  <c r="D34" i="1"/>
  <c r="J34" i="1" s="1"/>
  <c r="E34" i="1"/>
  <c r="D33" i="1"/>
  <c r="G33" i="1" s="1"/>
  <c r="C5" i="11"/>
  <c r="I6" i="11"/>
  <c r="C14" i="11"/>
  <c r="D16" i="11" s="1"/>
  <c r="C12" i="11"/>
  <c r="C8" i="11"/>
  <c r="C4" i="11"/>
  <c r="D29" i="1"/>
  <c r="G29" i="1" s="1"/>
  <c r="T6" i="7"/>
  <c r="M6" i="7"/>
  <c r="I6" i="7"/>
  <c r="H6" i="7"/>
  <c r="E22" i="1"/>
  <c r="G28" i="1"/>
  <c r="G24" i="1"/>
  <c r="J22" i="1"/>
  <c r="G22" i="1"/>
  <c r="H34" i="1"/>
  <c r="H22" i="1"/>
  <c r="F28" i="1"/>
  <c r="I22" i="1"/>
  <c r="H28" i="1"/>
  <c r="B15" i="1"/>
  <c r="B16" i="1" s="1"/>
  <c r="B18" i="1" s="1"/>
  <c r="I29" i="1"/>
  <c r="K28" i="1"/>
  <c r="I28" i="1"/>
  <c r="M26" i="1"/>
  <c r="L26" i="1"/>
  <c r="K26" i="1"/>
  <c r="L34" i="1"/>
  <c r="M24" i="1"/>
  <c r="L24" i="1"/>
  <c r="H24" i="1"/>
  <c r="F34" i="1"/>
  <c r="J26" i="1"/>
  <c r="K34" i="1"/>
  <c r="I24" i="1"/>
  <c r="I34" i="1"/>
  <c r="F24" i="1"/>
  <c r="K24" i="1"/>
  <c r="L28" i="1"/>
  <c r="M28" i="1"/>
  <c r="G34" i="1"/>
  <c r="E28" i="1"/>
  <c r="E24" i="1"/>
  <c r="M22" i="1"/>
  <c r="F21" i="1" l="1"/>
  <c r="J21" i="1"/>
  <c r="E21" i="1"/>
  <c r="M21" i="1"/>
  <c r="K21" i="1"/>
  <c r="H21" i="1"/>
  <c r="L21" i="1"/>
  <c r="L37" i="1"/>
  <c r="F37" i="1"/>
  <c r="J37" i="1"/>
  <c r="M37" i="1"/>
  <c r="E37" i="1"/>
  <c r="G37" i="1"/>
  <c r="J25" i="1"/>
  <c r="M25" i="1"/>
  <c r="K25" i="1"/>
  <c r="I25" i="1"/>
  <c r="L25" i="1"/>
  <c r="G25" i="1"/>
  <c r="E25" i="1"/>
  <c r="F25" i="1"/>
  <c r="H30" i="1"/>
  <c r="E30" i="1"/>
  <c r="M30" i="1"/>
  <c r="F30" i="1"/>
  <c r="I30" i="1"/>
  <c r="L30" i="1"/>
  <c r="G30" i="1"/>
  <c r="K30" i="1"/>
  <c r="J30" i="1"/>
  <c r="J31" i="1"/>
  <c r="E31" i="1"/>
  <c r="H31" i="1"/>
  <c r="M31" i="1"/>
  <c r="L31" i="1"/>
  <c r="I31" i="1"/>
  <c r="G31" i="1"/>
  <c r="F31" i="1"/>
  <c r="K31" i="1"/>
  <c r="H29" i="1"/>
  <c r="L33" i="1"/>
  <c r="L38" i="1"/>
  <c r="M33" i="1"/>
  <c r="M38" i="1"/>
  <c r="F38" i="1"/>
  <c r="M34" i="1"/>
  <c r="H38" i="1"/>
  <c r="I38" i="1"/>
  <c r="F33" i="1"/>
  <c r="E29" i="1"/>
  <c r="H33" i="1"/>
  <c r="L22" i="1"/>
  <c r="G26" i="1"/>
  <c r="F26" i="1"/>
  <c r="K29" i="1"/>
  <c r="G38" i="1"/>
  <c r="J38" i="1"/>
  <c r="M39" i="1"/>
  <c r="L39" i="1"/>
  <c r="L23" i="1"/>
  <c r="E38" i="1"/>
  <c r="E32" i="1"/>
  <c r="J32" i="1"/>
  <c r="G32" i="1"/>
  <c r="I32" i="1"/>
  <c r="M32" i="1"/>
  <c r="H32" i="1"/>
  <c r="K32" i="1"/>
  <c r="F32" i="1"/>
  <c r="L32" i="1"/>
  <c r="I35" i="1"/>
  <c r="E35" i="1"/>
  <c r="K35" i="1"/>
  <c r="J35" i="1"/>
  <c r="H35" i="1"/>
  <c r="F35" i="1"/>
  <c r="G35" i="1"/>
  <c r="L35" i="1"/>
  <c r="M35" i="1"/>
  <c r="E36" i="1"/>
  <c r="L36" i="1"/>
  <c r="M36" i="1"/>
  <c r="F36" i="1"/>
  <c r="J36" i="1"/>
  <c r="K36" i="1"/>
  <c r="G36" i="1"/>
  <c r="I36" i="1"/>
  <c r="H36" i="1"/>
  <c r="H27" i="1"/>
  <c r="G27" i="1"/>
  <c r="E27" i="1"/>
  <c r="M27" i="1"/>
  <c r="K27" i="1"/>
  <c r="I27" i="1"/>
  <c r="L27" i="1"/>
  <c r="J27" i="1"/>
  <c r="F27" i="1"/>
  <c r="H25" i="1"/>
  <c r="I39" i="1"/>
  <c r="J23" i="1"/>
  <c r="K33" i="1"/>
  <c r="H37" i="1"/>
  <c r="E39" i="1"/>
  <c r="K23" i="1"/>
  <c r="I23" i="1"/>
  <c r="H39" i="1"/>
  <c r="M23" i="1"/>
  <c r="E33" i="1"/>
  <c r="H23" i="1"/>
  <c r="F29" i="1"/>
  <c r="G39" i="1"/>
  <c r="M29" i="1"/>
  <c r="E26" i="1"/>
  <c r="I37" i="1"/>
  <c r="G21" i="1"/>
  <c r="I21" i="1"/>
  <c r="J33" i="1"/>
  <c r="I33" i="1"/>
  <c r="G23" i="1"/>
  <c r="J39" i="1"/>
  <c r="K37" i="1"/>
  <c r="I26" i="1"/>
  <c r="L29" i="1"/>
  <c r="J29" i="1"/>
  <c r="F23" i="1"/>
  <c r="U7" i="7"/>
  <c r="F39" i="1"/>
  <c r="D24" i="11"/>
  <c r="H5" i="7"/>
  <c r="H7" i="7" s="1"/>
  <c r="N5" i="7"/>
  <c r="N7" i="7" s="1"/>
  <c r="W5" i="7"/>
  <c r="W7" i="7" s="1"/>
  <c r="F7" i="7"/>
  <c r="T5" i="7"/>
  <c r="T7" i="7" s="1"/>
  <c r="D6" i="1"/>
  <c r="C20" i="11" s="1"/>
  <c r="K7" i="7"/>
  <c r="P5" i="7"/>
  <c r="P7" i="7" s="1"/>
  <c r="I5" i="7"/>
  <c r="I7" i="7" s="1"/>
  <c r="R7" i="7"/>
  <c r="G10" i="11"/>
  <c r="C15" i="1"/>
  <c r="M5" i="7"/>
  <c r="M7" i="7" s="1"/>
  <c r="C2" i="7" l="1"/>
  <c r="C13" i="7" s="1"/>
  <c r="C24" i="11"/>
  <c r="C16" i="11"/>
  <c r="G11" i="11" s="1"/>
  <c r="G17" i="11" s="1"/>
  <c r="C22" i="7" l="1"/>
  <c r="D22" i="7" s="1"/>
  <c r="W22" i="7" s="1"/>
  <c r="C15" i="7"/>
  <c r="D15" i="7" s="1"/>
  <c r="I15" i="7" s="1"/>
  <c r="C49" i="7"/>
  <c r="D49" i="7" s="1"/>
  <c r="U49" i="7" s="1"/>
  <c r="C12" i="7"/>
  <c r="D12" i="7" s="1"/>
  <c r="N12" i="7" s="1"/>
  <c r="C39" i="7"/>
  <c r="D39" i="7" s="1"/>
  <c r="N39" i="7" s="1"/>
  <c r="C16" i="7"/>
  <c r="D16" i="7" s="1"/>
  <c r="C21" i="7"/>
  <c r="D21" i="7" s="1"/>
  <c r="T21" i="7" s="1"/>
  <c r="C31" i="7"/>
  <c r="D31" i="7" s="1"/>
  <c r="M31" i="7" s="1"/>
  <c r="C9" i="7"/>
  <c r="D9" i="7" s="1"/>
  <c r="T9" i="7" s="1"/>
  <c r="C26" i="7"/>
  <c r="D26" i="7" s="1"/>
  <c r="W26" i="7" s="1"/>
  <c r="C47" i="7"/>
  <c r="D47" i="7" s="1"/>
  <c r="M47" i="7" s="1"/>
  <c r="C33" i="7"/>
  <c r="D33" i="7" s="1"/>
  <c r="T33" i="7" s="1"/>
  <c r="C36" i="7"/>
  <c r="D36" i="7" s="1"/>
  <c r="R36" i="7" s="1"/>
  <c r="C45" i="7"/>
  <c r="D45" i="7" s="1"/>
  <c r="U45" i="7" s="1"/>
  <c r="C50" i="7"/>
  <c r="D50" i="7" s="1"/>
  <c r="R50" i="7" s="1"/>
  <c r="C20" i="7"/>
  <c r="D20" i="7" s="1"/>
  <c r="R20" i="7" s="1"/>
  <c r="C23" i="7"/>
  <c r="D23" i="7" s="1"/>
  <c r="U23" i="7" s="1"/>
  <c r="C14" i="7"/>
  <c r="D14" i="7" s="1"/>
  <c r="P14" i="7" s="1"/>
  <c r="C46" i="7"/>
  <c r="D46" i="7" s="1"/>
  <c r="T46" i="7" s="1"/>
  <c r="C40" i="7"/>
  <c r="D40" i="7" s="1"/>
  <c r="W40" i="7" s="1"/>
  <c r="C28" i="7"/>
  <c r="D28" i="7" s="1"/>
  <c r="N28" i="7" s="1"/>
  <c r="C48" i="7"/>
  <c r="D48" i="7" s="1"/>
  <c r="H48" i="7" s="1"/>
  <c r="C41" i="7"/>
  <c r="D41" i="7" s="1"/>
  <c r="F41" i="7" s="1"/>
  <c r="C11" i="7"/>
  <c r="D11" i="7" s="1"/>
  <c r="W11" i="7" s="1"/>
  <c r="C29" i="7"/>
  <c r="D29" i="7" s="1"/>
  <c r="N29" i="7" s="1"/>
  <c r="C27" i="7"/>
  <c r="D27" i="7" s="1"/>
  <c r="K27" i="7" s="1"/>
  <c r="C52" i="7"/>
  <c r="D52" i="7" s="1"/>
  <c r="H52" i="7" s="1"/>
  <c r="C43" i="7"/>
  <c r="D43" i="7" s="1"/>
  <c r="P43" i="7" s="1"/>
  <c r="C54" i="7"/>
  <c r="D54" i="7" s="1"/>
  <c r="M54" i="7" s="1"/>
  <c r="C19" i="7"/>
  <c r="D19" i="7" s="1"/>
  <c r="K19" i="7" s="1"/>
  <c r="C38" i="7"/>
  <c r="C18" i="7"/>
  <c r="D18" i="7" s="1"/>
  <c r="F18" i="7" s="1"/>
  <c r="C25" i="7"/>
  <c r="D25" i="7" s="1"/>
  <c r="C17" i="7"/>
  <c r="D17" i="7" s="1"/>
  <c r="I17" i="7" s="1"/>
  <c r="C37" i="7"/>
  <c r="D37" i="7" s="1"/>
  <c r="N37" i="7" s="1"/>
  <c r="C34" i="7"/>
  <c r="D34" i="7" s="1"/>
  <c r="R34" i="7" s="1"/>
  <c r="C24" i="7"/>
  <c r="D24" i="7" s="1"/>
  <c r="W24" i="7" s="1"/>
  <c r="C10" i="7"/>
  <c r="D10" i="7" s="1"/>
  <c r="N10" i="7" s="1"/>
  <c r="C30" i="7"/>
  <c r="D30" i="7" s="1"/>
  <c r="N30" i="7" s="1"/>
  <c r="C35" i="7"/>
  <c r="D35" i="7" s="1"/>
  <c r="P35" i="7" s="1"/>
  <c r="C44" i="7"/>
  <c r="D44" i="7" s="1"/>
  <c r="M44" i="7" s="1"/>
  <c r="C32" i="7"/>
  <c r="D32" i="7" s="1"/>
  <c r="K32" i="7" s="1"/>
  <c r="C42" i="7"/>
  <c r="D42" i="7" s="1"/>
  <c r="P42" i="7" s="1"/>
  <c r="C51" i="7"/>
  <c r="D51" i="7" s="1"/>
  <c r="T51" i="7" s="1"/>
  <c r="C53" i="7"/>
  <c r="D53" i="7" s="1"/>
  <c r="H53" i="7" s="1"/>
  <c r="G12" i="11"/>
  <c r="G19" i="11"/>
  <c r="G20" i="11"/>
  <c r="G15" i="11"/>
  <c r="G14" i="11"/>
  <c r="G18" i="11"/>
  <c r="G21" i="11"/>
  <c r="G13" i="11"/>
  <c r="G16" i="11"/>
  <c r="D38" i="7"/>
  <c r="W38" i="7" s="1"/>
  <c r="D13" i="7"/>
  <c r="R13" i="7" s="1"/>
  <c r="P25" i="7" l="1"/>
  <c r="M25" i="7"/>
  <c r="I38" i="7"/>
  <c r="H51" i="7"/>
  <c r="F34" i="7"/>
  <c r="M51" i="7"/>
  <c r="U25" i="7"/>
  <c r="T40" i="7"/>
  <c r="F16" i="7"/>
  <c r="W16" i="7"/>
  <c r="H16" i="7"/>
  <c r="N13" i="7"/>
  <c r="K36" i="7"/>
  <c r="K23" i="7"/>
  <c r="U17" i="7"/>
  <c r="T17" i="7"/>
  <c r="K17" i="7"/>
  <c r="N17" i="7"/>
  <c r="T19" i="7"/>
  <c r="T18" i="7"/>
  <c r="N31" i="7"/>
  <c r="H20" i="7"/>
  <c r="R21" i="7"/>
  <c r="M11" i="7"/>
  <c r="H23" i="7"/>
  <c r="T11" i="7"/>
  <c r="I29" i="7"/>
  <c r="K26" i="7"/>
  <c r="F11" i="7"/>
  <c r="N23" i="7"/>
  <c r="P32" i="7"/>
  <c r="T29" i="7"/>
  <c r="R23" i="7"/>
  <c r="H32" i="7"/>
  <c r="N52" i="7"/>
  <c r="M29" i="7"/>
  <c r="I9" i="7"/>
  <c r="I20" i="7"/>
  <c r="I12" i="7"/>
  <c r="M13" i="7"/>
  <c r="F32" i="7"/>
  <c r="K38" i="7"/>
  <c r="N24" i="7"/>
  <c r="U20" i="7"/>
  <c r="T12" i="7"/>
  <c r="M32" i="7"/>
  <c r="M14" i="7"/>
  <c r="K10" i="7"/>
  <c r="F29" i="7"/>
  <c r="M21" i="7"/>
  <c r="M37" i="7"/>
  <c r="K40" i="7"/>
  <c r="M20" i="7"/>
  <c r="H12" i="7"/>
  <c r="I13" i="7"/>
  <c r="T25" i="7"/>
  <c r="F27" i="7"/>
  <c r="T10" i="7"/>
  <c r="R29" i="7"/>
  <c r="M43" i="7"/>
  <c r="F31" i="7"/>
  <c r="T37" i="7"/>
  <c r="F20" i="7"/>
  <c r="W12" i="7"/>
  <c r="T13" i="7"/>
  <c r="I25" i="7"/>
  <c r="H27" i="7"/>
  <c r="I10" i="7"/>
  <c r="U29" i="7"/>
  <c r="R31" i="7"/>
  <c r="N16" i="7"/>
  <c r="U13" i="7"/>
  <c r="N25" i="7"/>
  <c r="M38" i="7"/>
  <c r="R10" i="7"/>
  <c r="N45" i="7"/>
  <c r="T27" i="7"/>
  <c r="M10" i="7"/>
  <c r="H47" i="7"/>
  <c r="H31" i="7"/>
  <c r="R16" i="7"/>
  <c r="K14" i="7"/>
  <c r="K13" i="7"/>
  <c r="K42" i="7"/>
  <c r="F25" i="7"/>
  <c r="R38" i="7"/>
  <c r="R27" i="7"/>
  <c r="K45" i="7"/>
  <c r="F10" i="7"/>
  <c r="H45" i="7"/>
  <c r="I31" i="7"/>
  <c r="F14" i="7"/>
  <c r="N22" i="7"/>
  <c r="R25" i="7"/>
  <c r="K30" i="7"/>
  <c r="T26" i="7"/>
  <c r="T24" i="7"/>
  <c r="M19" i="7"/>
  <c r="N40" i="7"/>
  <c r="H14" i="7"/>
  <c r="T14" i="7"/>
  <c r="T20" i="7"/>
  <c r="K18" i="7"/>
  <c r="K39" i="7"/>
  <c r="U12" i="7"/>
  <c r="F15" i="7"/>
  <c r="N32" i="7"/>
  <c r="K25" i="7"/>
  <c r="U38" i="7"/>
  <c r="U11" i="7"/>
  <c r="N14" i="7"/>
  <c r="T15" i="7"/>
  <c r="T45" i="7"/>
  <c r="R26" i="7"/>
  <c r="H21" i="7"/>
  <c r="H11" i="7"/>
  <c r="F19" i="7"/>
  <c r="H30" i="7"/>
  <c r="T47" i="7"/>
  <c r="H26" i="7"/>
  <c r="K21" i="7"/>
  <c r="M16" i="7"/>
  <c r="I11" i="7"/>
  <c r="R11" i="7"/>
  <c r="N19" i="7"/>
  <c r="F40" i="7"/>
  <c r="U14" i="7"/>
  <c r="N33" i="7"/>
  <c r="M30" i="7"/>
  <c r="H39" i="7"/>
  <c r="M22" i="7"/>
  <c r="H38" i="7"/>
  <c r="T30" i="7"/>
  <c r="M26" i="7"/>
  <c r="F26" i="7"/>
  <c r="I16" i="7"/>
  <c r="K16" i="7"/>
  <c r="N11" i="7"/>
  <c r="H34" i="7"/>
  <c r="U19" i="7"/>
  <c r="R40" i="7"/>
  <c r="I14" i="7"/>
  <c r="K20" i="7"/>
  <c r="H18" i="7"/>
  <c r="Z18" i="7" s="1"/>
  <c r="R12" i="7"/>
  <c r="F22" i="7"/>
  <c r="F38" i="7"/>
  <c r="F30" i="7"/>
  <c r="F17" i="7"/>
  <c r="F36" i="7"/>
  <c r="N26" i="7"/>
  <c r="I26" i="7"/>
  <c r="U16" i="7"/>
  <c r="T16" i="7"/>
  <c r="K11" i="7"/>
  <c r="M34" i="7"/>
  <c r="I37" i="7"/>
  <c r="R19" i="7"/>
  <c r="W46" i="7"/>
  <c r="R14" i="7"/>
  <c r="I23" i="7"/>
  <c r="N20" i="7"/>
  <c r="H54" i="7"/>
  <c r="F12" i="7"/>
  <c r="U15" i="7"/>
  <c r="R22" i="7"/>
  <c r="F13" i="7"/>
  <c r="H25" i="7"/>
  <c r="T38" i="7"/>
  <c r="R30" i="7"/>
  <c r="R33" i="7"/>
  <c r="U26" i="7"/>
  <c r="P26" i="7"/>
  <c r="K24" i="7"/>
  <c r="N34" i="7"/>
  <c r="U46" i="7"/>
  <c r="P54" i="7"/>
  <c r="M15" i="7"/>
  <c r="R39" i="7"/>
  <c r="R15" i="7"/>
  <c r="I22" i="7"/>
  <c r="I49" i="7"/>
  <c r="N43" i="7"/>
  <c r="M48" i="7"/>
  <c r="F43" i="7"/>
  <c r="F45" i="7"/>
  <c r="Z45" i="7" s="1"/>
  <c r="I20" i="11" s="1"/>
  <c r="P16" i="7"/>
  <c r="U34" i="7"/>
  <c r="U41" i="7"/>
  <c r="W13" i="7"/>
  <c r="I32" i="7"/>
  <c r="K43" i="7"/>
  <c r="K46" i="7"/>
  <c r="U43" i="7"/>
  <c r="I34" i="7"/>
  <c r="I33" i="7"/>
  <c r="I35" i="7"/>
  <c r="R45" i="7"/>
  <c r="T48" i="7"/>
  <c r="H49" i="7"/>
  <c r="F49" i="7"/>
  <c r="K49" i="7"/>
  <c r="I40" i="7"/>
  <c r="W20" i="7"/>
  <c r="W49" i="7"/>
  <c r="R49" i="7"/>
  <c r="M52" i="7"/>
  <c r="T52" i="7"/>
  <c r="W45" i="7"/>
  <c r="W28" i="7"/>
  <c r="N46" i="7"/>
  <c r="P15" i="7"/>
  <c r="W25" i="7"/>
  <c r="P20" i="7"/>
  <c r="P11" i="7"/>
  <c r="P34" i="7"/>
  <c r="U40" i="7"/>
  <c r="N49" i="7"/>
  <c r="W32" i="7"/>
  <c r="I52" i="7"/>
  <c r="F51" i="7"/>
  <c r="F52" i="7"/>
  <c r="Z52" i="7" s="1"/>
  <c r="P17" i="7"/>
  <c r="U48" i="7"/>
  <c r="K54" i="7"/>
  <c r="P53" i="7"/>
  <c r="K51" i="7"/>
  <c r="N42" i="7"/>
  <c r="P29" i="7"/>
  <c r="W18" i="7"/>
  <c r="U54" i="7"/>
  <c r="R53" i="7"/>
  <c r="P10" i="7"/>
  <c r="W47" i="7"/>
  <c r="K52" i="7"/>
  <c r="P52" i="7"/>
  <c r="W29" i="7"/>
  <c r="W17" i="7"/>
  <c r="W33" i="7"/>
  <c r="P19" i="7"/>
  <c r="I54" i="7"/>
  <c r="P49" i="7"/>
  <c r="I53" i="7"/>
  <c r="R51" i="7"/>
  <c r="M53" i="7"/>
  <c r="U52" i="7"/>
  <c r="N50" i="7"/>
  <c r="P24" i="7"/>
  <c r="W19" i="7"/>
  <c r="R54" i="7"/>
  <c r="T53" i="7"/>
  <c r="U51" i="7"/>
  <c r="U53" i="7"/>
  <c r="P50" i="7"/>
  <c r="W37" i="7"/>
  <c r="W14" i="7"/>
  <c r="K53" i="7"/>
  <c r="R52" i="7"/>
  <c r="P30" i="7"/>
  <c r="W30" i="7"/>
  <c r="I45" i="7"/>
  <c r="P40" i="7"/>
  <c r="T54" i="7"/>
  <c r="W39" i="7"/>
  <c r="P22" i="7"/>
  <c r="P13" i="7"/>
  <c r="F53" i="7"/>
  <c r="Z53" i="7" s="1"/>
  <c r="P51" i="7"/>
  <c r="I42" i="7"/>
  <c r="F35" i="7"/>
  <c r="U35" i="7"/>
  <c r="P27" i="7"/>
  <c r="M27" i="7"/>
  <c r="W43" i="7"/>
  <c r="U50" i="7"/>
  <c r="P36" i="7"/>
  <c r="H33" i="7"/>
  <c r="K33" i="7"/>
  <c r="F47" i="7"/>
  <c r="Z47" i="7" s="1"/>
  <c r="K9" i="7"/>
  <c r="T31" i="7"/>
  <c r="I21" i="7"/>
  <c r="I24" i="7"/>
  <c r="T34" i="7"/>
  <c r="I41" i="7"/>
  <c r="T41" i="7"/>
  <c r="I48" i="7"/>
  <c r="R48" i="7"/>
  <c r="U28" i="7"/>
  <c r="H46" i="7"/>
  <c r="R46" i="7"/>
  <c r="F23" i="7"/>
  <c r="W23" i="7"/>
  <c r="R18" i="7"/>
  <c r="I18" i="7"/>
  <c r="N54" i="7"/>
  <c r="I39" i="7"/>
  <c r="M39" i="7"/>
  <c r="K12" i="7"/>
  <c r="W15" i="7"/>
  <c r="H22" i="7"/>
  <c r="T22" i="7"/>
  <c r="I51" i="7"/>
  <c r="W42" i="7"/>
  <c r="U42" i="7"/>
  <c r="R32" i="7"/>
  <c r="K44" i="7"/>
  <c r="T44" i="7"/>
  <c r="W52" i="7"/>
  <c r="M35" i="7"/>
  <c r="U30" i="7"/>
  <c r="I30" i="7"/>
  <c r="W27" i="7"/>
  <c r="W10" i="7"/>
  <c r="U10" i="7"/>
  <c r="K29" i="7"/>
  <c r="R17" i="7"/>
  <c r="H17" i="7"/>
  <c r="H43" i="7"/>
  <c r="W50" i="7"/>
  <c r="I50" i="7"/>
  <c r="P45" i="7"/>
  <c r="M36" i="7"/>
  <c r="N36" i="7"/>
  <c r="U33" i="7"/>
  <c r="I47" i="7"/>
  <c r="P47" i="7"/>
  <c r="P9" i="7"/>
  <c r="H9" i="7"/>
  <c r="U31" i="7"/>
  <c r="N21" i="7"/>
  <c r="F21" i="7"/>
  <c r="H24" i="7"/>
  <c r="U24" i="7"/>
  <c r="K34" i="7"/>
  <c r="W34" i="7"/>
  <c r="R41" i="7"/>
  <c r="P37" i="7"/>
  <c r="U37" i="7"/>
  <c r="P48" i="7"/>
  <c r="M28" i="7"/>
  <c r="H28" i="7"/>
  <c r="H19" i="7"/>
  <c r="H40" i="7"/>
  <c r="M40" i="7"/>
  <c r="M46" i="7"/>
  <c r="T23" i="7"/>
  <c r="P18" i="7"/>
  <c r="F54" i="7"/>
  <c r="W54" i="7"/>
  <c r="U39" i="7"/>
  <c r="M12" i="7"/>
  <c r="P12" i="7"/>
  <c r="T49" i="7"/>
  <c r="N15" i="7"/>
  <c r="H15" i="7"/>
  <c r="U22" i="7"/>
  <c r="H13" i="7"/>
  <c r="W53" i="7"/>
  <c r="N51" i="7"/>
  <c r="W51" i="7"/>
  <c r="M42" i="7"/>
  <c r="T32" i="7"/>
  <c r="U32" i="7"/>
  <c r="R44" i="7"/>
  <c r="P38" i="7"/>
  <c r="H50" i="7"/>
  <c r="M50" i="7"/>
  <c r="W36" i="7"/>
  <c r="U36" i="7"/>
  <c r="N47" i="7"/>
  <c r="K47" i="7"/>
  <c r="F9" i="7"/>
  <c r="N9" i="7"/>
  <c r="P21" i="7"/>
  <c r="M24" i="7"/>
  <c r="K41" i="7"/>
  <c r="F37" i="7"/>
  <c r="F48" i="7"/>
  <c r="Z48" i="7" s="1"/>
  <c r="T28" i="7"/>
  <c r="I28" i="7"/>
  <c r="I46" i="7"/>
  <c r="M18" i="7"/>
  <c r="F39" i="7"/>
  <c r="F42" i="7"/>
  <c r="W44" i="7"/>
  <c r="U9" i="7"/>
  <c r="K28" i="7"/>
  <c r="K35" i="7"/>
  <c r="K50" i="7"/>
  <c r="I36" i="7"/>
  <c r="F33" i="7"/>
  <c r="Z33" i="7" s="1"/>
  <c r="I17" i="11" s="1"/>
  <c r="W9" i="7"/>
  <c r="W21" i="7"/>
  <c r="R24" i="7"/>
  <c r="P28" i="7"/>
  <c r="W35" i="7"/>
  <c r="N27" i="7"/>
  <c r="T43" i="7"/>
  <c r="T50" i="7"/>
  <c r="T36" i="7"/>
  <c r="U47" i="7"/>
  <c r="R47" i="7"/>
  <c r="M9" i="7"/>
  <c r="P31" i="7"/>
  <c r="U21" i="7"/>
  <c r="F24" i="7"/>
  <c r="P41" i="7"/>
  <c r="R37" i="7"/>
  <c r="K37" i="7"/>
  <c r="W48" i="7"/>
  <c r="F28" i="7"/>
  <c r="F46" i="7"/>
  <c r="P23" i="7"/>
  <c r="N18" i="7"/>
  <c r="T39" i="7"/>
  <c r="K15" i="7"/>
  <c r="H42" i="7"/>
  <c r="I44" i="7"/>
  <c r="T35" i="7"/>
  <c r="R35" i="7"/>
  <c r="I27" i="7"/>
  <c r="U27" i="7"/>
  <c r="H10" i="7"/>
  <c r="H29" i="7"/>
  <c r="M17" i="7"/>
  <c r="I43" i="7"/>
  <c r="R43" i="7"/>
  <c r="F50" i="7"/>
  <c r="M45" i="7"/>
  <c r="H36" i="7"/>
  <c r="M33" i="7"/>
  <c r="P33" i="7"/>
  <c r="R9" i="7"/>
  <c r="K31" i="7"/>
  <c r="W31" i="7"/>
  <c r="M41" i="7"/>
  <c r="N41" i="7"/>
  <c r="H37" i="7"/>
  <c r="N48" i="7"/>
  <c r="K48" i="7"/>
  <c r="R28" i="7"/>
  <c r="I19" i="7"/>
  <c r="P46" i="7"/>
  <c r="M23" i="7"/>
  <c r="U18" i="7"/>
  <c r="P39" i="7"/>
  <c r="M49" i="7"/>
  <c r="K22" i="7"/>
  <c r="N53" i="7"/>
  <c r="R42" i="7"/>
  <c r="T42" i="7"/>
  <c r="F44" i="7"/>
  <c r="U44" i="7"/>
  <c r="N38" i="7"/>
  <c r="H35" i="7"/>
  <c r="H41" i="7"/>
  <c r="Z41" i="7" s="1"/>
  <c r="I19" i="11" s="1"/>
  <c r="W41" i="7"/>
  <c r="N44" i="7"/>
  <c r="H44" i="7"/>
  <c r="P44" i="7"/>
  <c r="N35" i="7"/>
  <c r="Z39" i="7" l="1"/>
  <c r="Z24" i="7"/>
  <c r="Z54" i="7"/>
  <c r="Z46" i="7"/>
  <c r="Z21" i="7"/>
  <c r="I14" i="11" s="1"/>
  <c r="Z27" i="7"/>
  <c r="Z16" i="7"/>
  <c r="Z13" i="7"/>
  <c r="I12" i="11" s="1"/>
  <c r="Z26" i="7"/>
  <c r="Z20" i="7"/>
  <c r="Z9" i="7"/>
  <c r="I11" i="11" s="1"/>
  <c r="Z28" i="7"/>
  <c r="Z23" i="7"/>
  <c r="Z12" i="7"/>
  <c r="Z30" i="7"/>
  <c r="Z14" i="7"/>
  <c r="Z35" i="7"/>
  <c r="Z36" i="7"/>
  <c r="Z40" i="7"/>
  <c r="Z44" i="7"/>
  <c r="Z50" i="7"/>
  <c r="I21" i="11" s="1"/>
  <c r="Z51" i="7"/>
  <c r="Z17" i="7"/>
  <c r="I13" i="11" s="1"/>
  <c r="Z19" i="7"/>
  <c r="Z25" i="7"/>
  <c r="I15" i="11" s="1"/>
  <c r="Z31" i="7"/>
  <c r="Z11" i="7"/>
  <c r="Z34" i="7"/>
  <c r="Z38" i="7"/>
  <c r="Z37" i="7"/>
  <c r="I18" i="11" s="1"/>
  <c r="Z22" i="7"/>
  <c r="Z15" i="7"/>
  <c r="Z42" i="7"/>
  <c r="Z49" i="7"/>
  <c r="Z43" i="7"/>
  <c r="Z10" i="7"/>
  <c r="Z29" i="7"/>
  <c r="I16" i="11" s="1"/>
  <c r="Z3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Simon Lillie</author>
  </authors>
  <commentList>
    <comment ref="D8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AXG Liner:
</t>
        </r>
        <r>
          <rPr>
            <u/>
            <sz val="8"/>
            <color indexed="81"/>
            <rFont val="Tahoma"/>
            <family val="2"/>
          </rPr>
          <t>-PFA:</t>
        </r>
        <r>
          <rPr>
            <sz val="8"/>
            <color indexed="81"/>
            <rFont val="Tahoma"/>
            <family val="2"/>
          </rPr>
          <t xml:space="preserve"> Sizes 2.5 to 500mm 
</t>
        </r>
        <r>
          <rPr>
            <u/>
            <sz val="8"/>
            <color indexed="81"/>
            <rFont val="Tahoma"/>
            <family val="2"/>
          </rPr>
          <t>-Ceramic:</t>
        </r>
        <r>
          <rPr>
            <sz val="8"/>
            <color indexed="81"/>
            <rFont val="Tahoma"/>
            <family val="2"/>
          </rPr>
          <t xml:space="preserve"> Sizes 2.5 to 200mm 
</t>
        </r>
      </text>
    </comment>
    <comment ref="D9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 xml:space="preserve">Liner:
</t>
        </r>
        <r>
          <rPr>
            <u/>
            <sz val="8"/>
            <color indexed="81"/>
            <rFont val="Tahoma"/>
            <family val="2"/>
          </rPr>
          <t>-General Purpose:</t>
        </r>
        <r>
          <rPr>
            <sz val="8"/>
            <color indexed="81"/>
            <rFont val="Tahoma"/>
            <family val="2"/>
          </rPr>
          <t xml:space="preserve"> PFA or Ceramic
</t>
        </r>
        <r>
          <rPr>
            <u/>
            <sz val="8"/>
            <color indexed="81"/>
            <rFont val="Tahoma"/>
            <family val="2"/>
          </rPr>
          <t>-Explosion Proof:</t>
        </r>
        <r>
          <rPr>
            <sz val="8"/>
            <color indexed="81"/>
            <rFont val="Tahoma"/>
            <family val="2"/>
          </rPr>
          <t xml:space="preserve"> PFA or Ceramic
</t>
        </r>
        <r>
          <rPr>
            <u/>
            <sz val="8"/>
            <color indexed="81"/>
            <rFont val="Tahoma"/>
            <family val="2"/>
          </rPr>
          <t>-Sanitary:</t>
        </r>
        <r>
          <rPr>
            <sz val="8"/>
            <color indexed="81"/>
            <rFont val="Tahoma"/>
            <family val="2"/>
          </rPr>
          <t xml:space="preserve"> Only PFA available
</t>
        </r>
        <r>
          <rPr>
            <u/>
            <sz val="8"/>
            <color indexed="81"/>
            <rFont val="Tahoma"/>
            <family val="2"/>
          </rPr>
          <t>-Submersible:</t>
        </r>
        <r>
          <rPr>
            <sz val="8"/>
            <color indexed="81"/>
            <rFont val="Tahoma"/>
            <family val="2"/>
          </rPr>
          <t xml:space="preserve"> PFA or Ceramic</t>
        </r>
      </text>
    </comment>
    <comment ref="D10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High Grade Calibration: </t>
        </r>
        <r>
          <rPr>
            <sz val="8"/>
            <color indexed="81"/>
            <rFont val="Tahoma"/>
            <family val="2"/>
          </rPr>
          <t xml:space="preserve">
-Only for Sizes 25 to 200mm</t>
        </r>
      </text>
    </comment>
    <comment ref="C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Based on PFA Liner only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8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Span Check:
</t>
        </r>
        <r>
          <rPr>
            <sz val="8"/>
            <color indexed="81"/>
            <rFont val="Tahoma"/>
            <family val="2"/>
          </rPr>
          <t>-Velocity &gt;=0.1m/sec
-Velocity &lt;=10m/sec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<sst xmlns="http://schemas.openxmlformats.org/spreadsheetml/2006/main" count="223" uniqueCount="153">
  <si>
    <t>Size (mm)</t>
  </si>
  <si>
    <t>Vmax</t>
  </si>
  <si>
    <t>mm</t>
  </si>
  <si>
    <t>FLOWRATE</t>
  </si>
  <si>
    <t>ACCURACY</t>
  </si>
  <si>
    <t>Zero</t>
  </si>
  <si>
    <t>m/sec</t>
  </si>
  <si>
    <t>l/sec</t>
  </si>
  <si>
    <t>l/min</t>
  </si>
  <si>
    <t>l/hr</t>
  </si>
  <si>
    <t>Tag Number</t>
  </si>
  <si>
    <t>Service</t>
  </si>
  <si>
    <t>% of Span</t>
  </si>
  <si>
    <t>MAXIMUM RANGE LIMITS</t>
  </si>
  <si>
    <t>Ml/day</t>
  </si>
  <si>
    <t>Flow</t>
  </si>
  <si>
    <t>ID</t>
  </si>
  <si>
    <r>
      <t>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/hr</t>
    </r>
  </si>
  <si>
    <r>
      <t>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/min</t>
    </r>
  </si>
  <si>
    <r>
      <t>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/sec</t>
    </r>
  </si>
  <si>
    <t>General Purpose</t>
  </si>
  <si>
    <t>Explosion Proof</t>
  </si>
  <si>
    <t>Velocity (m/sec)</t>
  </si>
  <si>
    <t>Span Vs</t>
  </si>
  <si>
    <t>% of Rate</t>
  </si>
  <si>
    <t>Rate Units</t>
  </si>
  <si>
    <t>FLOWRATE RANGE</t>
  </si>
  <si>
    <t>VELOCITY RANGE</t>
  </si>
  <si>
    <t>VELOCITY MAX RANGE LIMITS</t>
  </si>
  <si>
    <t>Client:</t>
  </si>
  <si>
    <t>Model:</t>
  </si>
  <si>
    <t>Type:</t>
  </si>
  <si>
    <t>Size:</t>
  </si>
  <si>
    <r>
      <t>Tag N</t>
    </r>
    <r>
      <rPr>
        <vertAlign val="superscript"/>
        <sz val="11"/>
        <rFont val="Times New Roman"/>
        <family val="1"/>
      </rPr>
      <t>o</t>
    </r>
    <r>
      <rPr>
        <sz val="11"/>
        <rFont val="Times New Roman"/>
        <family val="1"/>
      </rPr>
      <t>:</t>
    </r>
  </si>
  <si>
    <t>Service:</t>
  </si>
  <si>
    <t>Client Name</t>
  </si>
  <si>
    <t>% of Range</t>
  </si>
  <si>
    <t>Range</t>
  </si>
  <si>
    <t>Sanitary</t>
  </si>
  <si>
    <t>Submersible</t>
  </si>
  <si>
    <t>PFA</t>
  </si>
  <si>
    <t>Ceramic</t>
  </si>
  <si>
    <t>Span Check:</t>
  </si>
  <si>
    <t>Velocity (mm/sec)</t>
  </si>
  <si>
    <t>Liner:</t>
  </si>
  <si>
    <t>Size 2.5 to 15mm</t>
  </si>
  <si>
    <t>PFA/Ceramic</t>
  </si>
  <si>
    <t>Liner</t>
  </si>
  <si>
    <t>Calibration</t>
  </si>
  <si>
    <t>Excitation:</t>
  </si>
  <si>
    <t>Error Check</t>
  </si>
  <si>
    <t>Ex</t>
  </si>
  <si>
    <t>ERROR - INVALID TYPE</t>
  </si>
  <si>
    <t>Max Flow (m3/Hr)</t>
  </si>
  <si>
    <t>Created By:</t>
  </si>
  <si>
    <t>Simon Lillie</t>
  </si>
  <si>
    <t>Yokogawa Australia Pty Ltd</t>
  </si>
  <si>
    <r>
      <t>Area (m</t>
    </r>
    <r>
      <rPr>
        <b/>
        <vertAlign val="super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</si>
  <si>
    <t>bbl(US_Oil)/day</t>
  </si>
  <si>
    <t>bbl(US_Beer)/day</t>
  </si>
  <si>
    <t>AXG Data Entry</t>
  </si>
  <si>
    <t>AXG Model</t>
  </si>
  <si>
    <t>AXG MS Suffix Code</t>
  </si>
  <si>
    <t>AXG Type</t>
  </si>
  <si>
    <t>AXG Liner</t>
  </si>
  <si>
    <t>AXG Calibration</t>
  </si>
  <si>
    <t>June 2017</t>
  </si>
  <si>
    <t>ADMAG TI AXG Release</t>
  </si>
  <si>
    <t xml:space="preserve">YOKOGAWA AXG MAGNETIC FLOWMETER - ACCURACY STATEMENT </t>
  </si>
  <si>
    <t>AXG002-G</t>
  </si>
  <si>
    <t>AXG005-G</t>
  </si>
  <si>
    <t>AXG010-G</t>
  </si>
  <si>
    <t>AXG015-G</t>
  </si>
  <si>
    <t>AXG025-G</t>
  </si>
  <si>
    <t>AXG032-G</t>
  </si>
  <si>
    <t>AXG040-G</t>
  </si>
  <si>
    <t>AXG050-G</t>
  </si>
  <si>
    <t>AXG065-G</t>
  </si>
  <si>
    <t>AXG080-G</t>
  </si>
  <si>
    <t>AXG100-G</t>
  </si>
  <si>
    <t>AXG125-G</t>
  </si>
  <si>
    <t>AXG150-G</t>
  </si>
  <si>
    <t>AXG200-G</t>
  </si>
  <si>
    <t>AXG250-G</t>
  </si>
  <si>
    <t>AXG300-G</t>
  </si>
  <si>
    <t>AXG350-G</t>
  </si>
  <si>
    <t>AXG400-G</t>
  </si>
  <si>
    <t>AXG500-G</t>
  </si>
  <si>
    <t>AXG015-W</t>
  </si>
  <si>
    <t>AXG025-W</t>
  </si>
  <si>
    <t>AXG032-W</t>
  </si>
  <si>
    <t>AXG040-W</t>
  </si>
  <si>
    <t>AXG050-W</t>
  </si>
  <si>
    <t>AXG065-W</t>
  </si>
  <si>
    <t>AXG080-W</t>
  </si>
  <si>
    <t>AXG100-W</t>
  </si>
  <si>
    <t>AXG125-W</t>
  </si>
  <si>
    <t>AXG150-W</t>
  </si>
  <si>
    <t>AXG200-W</t>
  </si>
  <si>
    <t>AXG250-W</t>
  </si>
  <si>
    <t>AXG300-W</t>
  </si>
  <si>
    <t>AXG350-W</t>
  </si>
  <si>
    <t>AXG400-W</t>
  </si>
  <si>
    <t>AXG500-W</t>
  </si>
  <si>
    <t>AXG015-H</t>
  </si>
  <si>
    <t>AXG025-H</t>
  </si>
  <si>
    <t>AXG032-H</t>
  </si>
  <si>
    <t>AXG040-H</t>
  </si>
  <si>
    <t>AXG050-H</t>
  </si>
  <si>
    <t>AXG065-H</t>
  </si>
  <si>
    <t>AXG080-H</t>
  </si>
  <si>
    <t>AXG100-H</t>
  </si>
  <si>
    <t>AXG125-H</t>
  </si>
  <si>
    <t>Standard (Code B)</t>
  </si>
  <si>
    <t>High Grade (Code C)</t>
  </si>
  <si>
    <t>Size 25 to 400mm</t>
  </si>
  <si>
    <t>AXG Integral or AXG4A</t>
  </si>
  <si>
    <t>AXG Transmitter</t>
  </si>
  <si>
    <t>AXFA11</t>
  </si>
  <si>
    <t>AXFA11G</t>
  </si>
  <si>
    <t>Transmitter:</t>
  </si>
  <si>
    <t>AXG</t>
  </si>
  <si>
    <t>Size 500mm</t>
  </si>
  <si>
    <t>Rev 0 - July 2017</t>
  </si>
  <si>
    <t>AXG002-C</t>
  </si>
  <si>
    <t>AXG005-C</t>
  </si>
  <si>
    <t>AXG010-C</t>
  </si>
  <si>
    <t>AXG015-C</t>
  </si>
  <si>
    <t>AXG025-C</t>
  </si>
  <si>
    <t>AXG032-C</t>
  </si>
  <si>
    <t>AXG040-C</t>
  </si>
  <si>
    <t>AXG050-C</t>
  </si>
  <si>
    <t>AXG065-C</t>
  </si>
  <si>
    <t>AXG080-C</t>
  </si>
  <si>
    <t>AXG100-C</t>
  </si>
  <si>
    <t>AXG125-C</t>
  </si>
  <si>
    <t>AXG150-C</t>
  </si>
  <si>
    <t>AXG200-C</t>
  </si>
  <si>
    <t>ERROR - Not Available</t>
  </si>
  <si>
    <t>AXG250-C</t>
  </si>
  <si>
    <t>AXG300-C</t>
  </si>
  <si>
    <t>AXG350-C</t>
  </si>
  <si>
    <t>AXG400-C</t>
  </si>
  <si>
    <t>Rev 1 - Jan 2019</t>
  </si>
  <si>
    <t>AXG1A</t>
  </si>
  <si>
    <t>Rev 2 - Aug 2019</t>
  </si>
  <si>
    <t>AXG1A Release</t>
  </si>
  <si>
    <t>Made by Yokogawa Australia Pty Ltd</t>
  </si>
  <si>
    <t>Simon Lillie - 2019</t>
  </si>
  <si>
    <t>General Purpose</t>
    <phoneticPr fontId="4" type="noConversion"/>
  </si>
  <si>
    <t>PAC</t>
    <phoneticPr fontId="18" type="noConversion"/>
  </si>
  <si>
    <t>PAM</t>
    <phoneticPr fontId="18" type="noConversion"/>
  </si>
  <si>
    <t>5mm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</si>
</sst>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"/>
    <numFmt numFmtId="177" formatCode="0.0"/>
    <numFmt numFmtId="178" formatCode="0.000"/>
    <numFmt numFmtId="179" formatCode="[$-C09]d\ mmmm\ yyyy;@"/>
  </numFmts>
  <fonts count="20" x14ac:knownFonts="1">
    <font>
      <sz val="11"/>
      <name val="Times New Roman"/>
    </font>
    <font>
      <sz val="11"/>
      <name val="Times New Roman"/>
      <family val="1"/>
    </font>
    <font>
      <b/>
      <sz val="11"/>
      <name val="Times New Roman"/>
      <family val="1"/>
    </font>
    <font>
      <sz val="22"/>
      <name val="Times New Roman"/>
      <family val="1"/>
    </font>
    <font>
      <sz val="8"/>
      <name val="Times New Roman"/>
      <family val="1"/>
    </font>
    <font>
      <vertAlign val="superscript"/>
      <sz val="11"/>
      <name val="Times New Roman"/>
      <family val="1"/>
    </font>
    <font>
      <b/>
      <vertAlign val="superscript"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sz val="11"/>
      <name val="Times New Roman"/>
      <family val="1"/>
    </font>
    <font>
      <sz val="11"/>
      <color indexed="9"/>
      <name val="Times New Roman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name val="Times New Roman"/>
      <family val="1"/>
    </font>
    <font>
      <sz val="9"/>
      <name val="宋体"/>
      <family val="3"/>
      <charset val="134"/>
    </font>
    <font>
      <sz val="11"/>
      <name val="微软雅黑"/>
      <family val="2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78" fontId="0" fillId="0" borderId="1" xfId="0" applyNumberFormat="1" applyBorder="1" applyAlignment="1">
      <alignment horizontal="center"/>
    </xf>
    <xf numFmtId="0" fontId="3" fillId="0" borderId="0" xfId="0" applyFont="1"/>
    <xf numFmtId="176" fontId="0" fillId="0" borderId="0" xfId="0" applyNumberFormat="1"/>
    <xf numFmtId="0" fontId="0" fillId="0" borderId="1" xfId="0" applyBorder="1"/>
    <xf numFmtId="2" fontId="0" fillId="0" borderId="0" xfId="0" applyNumberFormat="1" applyAlignment="1">
      <alignment horizontal="center"/>
    </xf>
    <xf numFmtId="0" fontId="0" fillId="0" borderId="2" xfId="0" applyBorder="1"/>
    <xf numFmtId="177" fontId="0" fillId="0" borderId="0" xfId="0" applyNumberFormat="1" applyAlignment="1">
      <alignment horizontal="center" vertical="center"/>
    </xf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178" fontId="0" fillId="4" borderId="7" xfId="0" applyNumberFormat="1" applyFill="1" applyBorder="1"/>
    <xf numFmtId="2" fontId="0" fillId="0" borderId="0" xfId="0" applyNumberFormat="1"/>
    <xf numFmtId="177" fontId="0" fillId="0" borderId="0" xfId="0" applyNumberFormat="1"/>
    <xf numFmtId="2" fontId="0" fillId="0" borderId="8" xfId="0" applyNumberFormat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8" xfId="0" applyBorder="1"/>
    <xf numFmtId="0" fontId="0" fillId="0" borderId="12" xfId="0" applyBorder="1"/>
    <xf numFmtId="0" fontId="0" fillId="0" borderId="5" xfId="0" applyBorder="1"/>
    <xf numFmtId="0" fontId="0" fillId="0" borderId="13" xfId="0" applyBorder="1"/>
    <xf numFmtId="0" fontId="0" fillId="0" borderId="6" xfId="0" applyBorder="1"/>
    <xf numFmtId="0" fontId="0" fillId="2" borderId="1" xfId="0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176" fontId="2" fillId="0" borderId="0" xfId="0" applyNumberFormat="1" applyFont="1" applyAlignment="1">
      <alignment horizontal="center"/>
    </xf>
    <xf numFmtId="0" fontId="0" fillId="3" borderId="1" xfId="0" applyFill="1" applyBorder="1" applyProtection="1">
      <protection locked="0"/>
    </xf>
    <xf numFmtId="0" fontId="2" fillId="0" borderId="12" xfId="0" applyFont="1" applyBorder="1"/>
    <xf numFmtId="0" fontId="0" fillId="0" borderId="8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1" fontId="0" fillId="0" borderId="20" xfId="0" applyNumberFormat="1" applyBorder="1"/>
    <xf numFmtId="2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center"/>
    </xf>
    <xf numFmtId="0" fontId="1" fillId="0" borderId="8" xfId="0" applyFont="1" applyBorder="1"/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177" fontId="0" fillId="4" borderId="12" xfId="0" applyNumberFormat="1" applyFill="1" applyBorder="1" applyAlignment="1">
      <alignment horizontal="center" vertical="center"/>
    </xf>
    <xf numFmtId="177" fontId="0" fillId="4" borderId="5" xfId="0" applyNumberForma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12" xfId="0" applyFont="1" applyBorder="1" applyAlignment="1">
      <alignment horizontal="left"/>
    </xf>
    <xf numFmtId="0" fontId="8" fillId="6" borderId="0" xfId="0" applyFont="1" applyFill="1" applyAlignment="1">
      <alignment horizontal="center"/>
    </xf>
    <xf numFmtId="0" fontId="8" fillId="6" borderId="8" xfId="0" applyFont="1" applyFill="1" applyBorder="1" applyAlignment="1">
      <alignment horizontal="center"/>
    </xf>
    <xf numFmtId="0" fontId="8" fillId="0" borderId="12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9" fillId="0" borderId="13" xfId="0" applyFont="1" applyBorder="1" applyAlignment="1">
      <alignment horizontal="center"/>
    </xf>
    <xf numFmtId="0" fontId="8" fillId="6" borderId="13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7" xfId="0" applyFont="1" applyFill="1" applyBorder="1"/>
    <xf numFmtId="0" fontId="2" fillId="2" borderId="4" xfId="0" applyFont="1" applyFill="1" applyBorder="1"/>
    <xf numFmtId="0" fontId="0" fillId="5" borderId="0" xfId="0" applyFill="1"/>
    <xf numFmtId="0" fontId="11" fillId="0" borderId="0" xfId="0" applyFont="1"/>
    <xf numFmtId="0" fontId="1" fillId="0" borderId="0" xfId="0" applyFont="1"/>
    <xf numFmtId="0" fontId="2" fillId="5" borderId="27" xfId="0" applyFont="1" applyFill="1" applyBorder="1"/>
    <xf numFmtId="0" fontId="1" fillId="5" borderId="28" xfId="0" applyFont="1" applyFill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179" fontId="0" fillId="0" borderId="0" xfId="0" quotePrefix="1" applyNumberFormat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2" fillId="0" borderId="0" xfId="0" applyFont="1"/>
    <xf numFmtId="0" fontId="7" fillId="0" borderId="12" xfId="0" applyFont="1" applyBorder="1"/>
    <xf numFmtId="0" fontId="0" fillId="6" borderId="12" xfId="0" applyFill="1" applyBorder="1"/>
    <xf numFmtId="0" fontId="0" fillId="6" borderId="0" xfId="0" applyFill="1"/>
    <xf numFmtId="0" fontId="0" fillId="6" borderId="8" xfId="0" applyFill="1" applyBorder="1"/>
    <xf numFmtId="0" fontId="0" fillId="9" borderId="12" xfId="0" applyFill="1" applyBorder="1"/>
    <xf numFmtId="0" fontId="0" fillId="9" borderId="0" xfId="0" applyFill="1"/>
    <xf numFmtId="0" fontId="0" fillId="9" borderId="8" xfId="0" applyFill="1" applyBorder="1"/>
    <xf numFmtId="0" fontId="0" fillId="7" borderId="12" xfId="0" applyFill="1" applyBorder="1"/>
    <xf numFmtId="0" fontId="0" fillId="7" borderId="0" xfId="0" applyFill="1"/>
    <xf numFmtId="0" fontId="0" fillId="7" borderId="8" xfId="0" applyFill="1" applyBorder="1"/>
    <xf numFmtId="176" fontId="0" fillId="0" borderId="12" xfId="0" applyNumberFormat="1" applyBorder="1"/>
    <xf numFmtId="176" fontId="0" fillId="0" borderId="8" xfId="0" applyNumberFormat="1" applyBorder="1"/>
    <xf numFmtId="176" fontId="0" fillId="0" borderId="5" xfId="0" applyNumberFormat="1" applyBorder="1"/>
    <xf numFmtId="176" fontId="0" fillId="0" borderId="13" xfId="0" applyNumberFormat="1" applyBorder="1"/>
    <xf numFmtId="176" fontId="0" fillId="0" borderId="6" xfId="0" applyNumberFormat="1" applyBorder="1"/>
    <xf numFmtId="0" fontId="2" fillId="0" borderId="8" xfId="0" applyFont="1" applyBorder="1"/>
    <xf numFmtId="0" fontId="2" fillId="8" borderId="9" xfId="0" applyFont="1" applyFill="1" applyBorder="1"/>
    <xf numFmtId="0" fontId="2" fillId="8" borderId="10" xfId="0" applyFont="1" applyFill="1" applyBorder="1"/>
    <xf numFmtId="0" fontId="2" fillId="8" borderId="11" xfId="0" applyFont="1" applyFill="1" applyBorder="1"/>
    <xf numFmtId="0" fontId="0" fillId="5" borderId="1" xfId="0" applyFill="1" applyBorder="1"/>
    <xf numFmtId="0" fontId="1" fillId="2" borderId="0" xfId="0" applyFont="1" applyFill="1" applyProtection="1">
      <protection locked="0"/>
    </xf>
    <xf numFmtId="0" fontId="1" fillId="0" borderId="0" xfId="0" applyFont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2" fontId="0" fillId="4" borderId="8" xfId="0" applyNumberFormat="1" applyFill="1" applyBorder="1" applyAlignment="1">
      <alignment horizontal="center"/>
    </xf>
    <xf numFmtId="2" fontId="0" fillId="4" borderId="6" xfId="0" applyNumberFormat="1" applyFill="1" applyBorder="1" applyAlignment="1">
      <alignment horizontal="center"/>
    </xf>
    <xf numFmtId="0" fontId="17" fillId="0" borderId="0" xfId="0" applyFont="1"/>
    <xf numFmtId="0" fontId="1" fillId="2" borderId="2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Protection="1">
      <protection locked="0"/>
    </xf>
    <xf numFmtId="0" fontId="19" fillId="3" borderId="1" xfId="0" applyFont="1" applyFill="1" applyBorder="1" applyProtection="1"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/>
              <a:t>AXG Accuracy vs. Flow </a:t>
            </a:r>
          </a:p>
        </c:rich>
      </c:tx>
      <c:layout>
        <c:manualLayout>
          <c:xMode val="edge"/>
          <c:yMode val="edge"/>
          <c:x val="0.35127877689582204"/>
          <c:y val="3.2921810699588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62725540621423"/>
          <c:y val="0.18107059556958563"/>
          <c:w val="0.80484561876617577"/>
          <c:h val="0.62963184368514991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'AXG Calculator'!$Y$9:$Y$54</c:f>
              <c:numCache>
                <c:formatCode>0.0</c:formatCode>
                <c:ptCount val="46"/>
                <c:pt idx="0">
                  <c:v>100</c:v>
                </c:pt>
                <c:pt idx="1">
                  <c:v>97.5</c:v>
                </c:pt>
                <c:pt idx="2">
                  <c:v>95</c:v>
                </c:pt>
                <c:pt idx="3">
                  <c:v>92.5</c:v>
                </c:pt>
                <c:pt idx="4">
                  <c:v>90</c:v>
                </c:pt>
                <c:pt idx="5">
                  <c:v>87.5</c:v>
                </c:pt>
                <c:pt idx="6">
                  <c:v>85</c:v>
                </c:pt>
                <c:pt idx="7">
                  <c:v>82.5</c:v>
                </c:pt>
                <c:pt idx="8">
                  <c:v>80</c:v>
                </c:pt>
                <c:pt idx="9">
                  <c:v>77.5</c:v>
                </c:pt>
                <c:pt idx="10">
                  <c:v>75</c:v>
                </c:pt>
                <c:pt idx="11">
                  <c:v>72.5</c:v>
                </c:pt>
                <c:pt idx="12">
                  <c:v>70</c:v>
                </c:pt>
                <c:pt idx="13">
                  <c:v>67.5</c:v>
                </c:pt>
                <c:pt idx="14">
                  <c:v>65</c:v>
                </c:pt>
                <c:pt idx="15">
                  <c:v>62.5</c:v>
                </c:pt>
                <c:pt idx="16">
                  <c:v>60</c:v>
                </c:pt>
                <c:pt idx="17">
                  <c:v>57.5</c:v>
                </c:pt>
                <c:pt idx="18">
                  <c:v>55</c:v>
                </c:pt>
                <c:pt idx="19">
                  <c:v>52.5</c:v>
                </c:pt>
                <c:pt idx="20">
                  <c:v>50</c:v>
                </c:pt>
                <c:pt idx="21">
                  <c:v>47.5</c:v>
                </c:pt>
                <c:pt idx="22">
                  <c:v>45</c:v>
                </c:pt>
                <c:pt idx="23">
                  <c:v>42.5</c:v>
                </c:pt>
                <c:pt idx="24">
                  <c:v>40</c:v>
                </c:pt>
                <c:pt idx="25">
                  <c:v>37.5</c:v>
                </c:pt>
                <c:pt idx="26">
                  <c:v>35</c:v>
                </c:pt>
                <c:pt idx="27">
                  <c:v>32.5</c:v>
                </c:pt>
                <c:pt idx="28">
                  <c:v>30</c:v>
                </c:pt>
                <c:pt idx="29">
                  <c:v>27.5</c:v>
                </c:pt>
                <c:pt idx="30">
                  <c:v>25</c:v>
                </c:pt>
                <c:pt idx="31">
                  <c:v>22.5</c:v>
                </c:pt>
                <c:pt idx="32">
                  <c:v>20</c:v>
                </c:pt>
                <c:pt idx="33">
                  <c:v>17.5</c:v>
                </c:pt>
                <c:pt idx="34">
                  <c:v>15</c:v>
                </c:pt>
                <c:pt idx="35">
                  <c:v>12.5</c:v>
                </c:pt>
                <c:pt idx="36">
                  <c:v>10</c:v>
                </c:pt>
                <c:pt idx="37">
                  <c:v>9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</c:numCache>
            </c:numRef>
          </c:xVal>
          <c:yVal>
            <c:numRef>
              <c:f>'AXG Calculator'!$Z$9:$Z$54</c:f>
              <c:numCache>
                <c:formatCode>0.00</c:formatCode>
                <c:ptCount val="46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0.3</c:v>
                </c:pt>
                <c:pt idx="28">
                  <c:v>0.3</c:v>
                </c:pt>
                <c:pt idx="29">
                  <c:v>0.3</c:v>
                </c:pt>
                <c:pt idx="30">
                  <c:v>0.3</c:v>
                </c:pt>
                <c:pt idx="31">
                  <c:v>0.3</c:v>
                </c:pt>
                <c:pt idx="32">
                  <c:v>0.3</c:v>
                </c:pt>
                <c:pt idx="33">
                  <c:v>0.3</c:v>
                </c:pt>
                <c:pt idx="34">
                  <c:v>0.3</c:v>
                </c:pt>
                <c:pt idx="35">
                  <c:v>0.3</c:v>
                </c:pt>
                <c:pt idx="36">
                  <c:v>0.3</c:v>
                </c:pt>
                <c:pt idx="37">
                  <c:v>0.3</c:v>
                </c:pt>
                <c:pt idx="38">
                  <c:v>0.3</c:v>
                </c:pt>
                <c:pt idx="39">
                  <c:v>0.34467759399385162</c:v>
                </c:pt>
                <c:pt idx="40">
                  <c:v>0.40212385965949354</c:v>
                </c:pt>
                <c:pt idx="41">
                  <c:v>0.48254863159139222</c:v>
                </c:pt>
                <c:pt idx="42">
                  <c:v>0.60318578948924018</c:v>
                </c:pt>
                <c:pt idx="43">
                  <c:v>0.80424771931898709</c:v>
                </c:pt>
                <c:pt idx="44">
                  <c:v>1.2063715789784804</c:v>
                </c:pt>
                <c:pt idx="45">
                  <c:v>2.4127431579569607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A5-4AB6-8CDB-26B79FCFD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651248"/>
        <c:axId val="225638224"/>
      </c:scatterChart>
      <c:valAx>
        <c:axId val="225651248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Flow (% of Range)</a:t>
                </a:r>
              </a:p>
            </c:rich>
          </c:tx>
          <c:layout>
            <c:manualLayout>
              <c:xMode val="edge"/>
              <c:yMode val="edge"/>
              <c:x val="0.43068658308693913"/>
              <c:y val="0.899180195068209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25638224"/>
        <c:crosses val="autoZero"/>
        <c:crossBetween val="midCat"/>
        <c:majorUnit val="10"/>
      </c:valAx>
      <c:valAx>
        <c:axId val="225638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Error (% of Rate)</a:t>
                </a:r>
              </a:p>
            </c:rich>
          </c:tx>
          <c:layout>
            <c:manualLayout>
              <c:xMode val="edge"/>
              <c:yMode val="edge"/>
              <c:x val="2.5572005383580079E-2"/>
              <c:y val="0.341564866120129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25651248"/>
        <c:crosses val="autoZero"/>
        <c:crossBetween val="midCat"/>
        <c:minorUnit val="0.5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http://www.yokogawa.com/pr/img/pr-yokogawa-logo-00.gif" TargetMode="External"/><Relationship Id="rId2" Type="http://schemas.openxmlformats.org/officeDocument/2006/relationships/image" Target="../media/image1.gif"/><Relationship Id="rId1" Type="http://schemas.openxmlformats.org/officeDocument/2006/relationships/chart" Target="../charts/chart1.xm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922020</xdr:colOff>
      <xdr:row>7</xdr:row>
      <xdr:rowOff>45720</xdr:rowOff>
    </xdr:from>
    <xdr:to>
      <xdr:col>2</xdr:col>
      <xdr:colOff>998220</xdr:colOff>
      <xdr:row>8</xdr:row>
      <xdr:rowOff>129540</xdr:rowOff>
    </xdr:to>
    <xdr:sp macro="" textlink="">
      <xdr:nvSpPr>
        <xdr:cNvPr id="1176" name="AutoShape 126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>
          <a:spLocks/>
        </xdr:cNvSpPr>
      </xdr:nvSpPr>
      <xdr:spPr bwMode="auto">
        <a:xfrm>
          <a:off x="6019800" y="1546860"/>
          <a:ext cx="76200" cy="274320"/>
        </a:xfrm>
        <a:prstGeom prst="leftBrace">
          <a:avLst>
            <a:gd name="adj1" fmla="val 300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68580</xdr:colOff>
      <xdr:row>7</xdr:row>
      <xdr:rowOff>175260</xdr:rowOff>
    </xdr:from>
    <xdr:to>
      <xdr:col>2</xdr:col>
      <xdr:colOff>792480</xdr:colOff>
      <xdr:row>8</xdr:row>
      <xdr:rowOff>99060</xdr:rowOff>
    </xdr:to>
    <xdr:sp macro="" textlink="">
      <xdr:nvSpPr>
        <xdr:cNvPr id="1177" name="Line 127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>
          <a:spLocks noChangeShapeType="1"/>
        </xdr:cNvSpPr>
      </xdr:nvSpPr>
      <xdr:spPr bwMode="auto">
        <a:xfrm flipV="1">
          <a:off x="5166360" y="1676400"/>
          <a:ext cx="72390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129540</xdr:colOff>
      <xdr:row>9</xdr:row>
      <xdr:rowOff>83820</xdr:rowOff>
    </xdr:from>
    <xdr:to>
      <xdr:col>2</xdr:col>
      <xdr:colOff>929640</xdr:colOff>
      <xdr:row>9</xdr:row>
      <xdr:rowOff>91440</xdr:rowOff>
    </xdr:to>
    <xdr:sp macro="" textlink="">
      <xdr:nvSpPr>
        <xdr:cNvPr id="1178" name="Line 128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>
          <a:spLocks noChangeShapeType="1"/>
        </xdr:cNvSpPr>
      </xdr:nvSpPr>
      <xdr:spPr bwMode="auto">
        <a:xfrm>
          <a:off x="5227320" y="1965960"/>
          <a:ext cx="800100" cy="76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129540</xdr:colOff>
      <xdr:row>10</xdr:row>
      <xdr:rowOff>99060</xdr:rowOff>
    </xdr:from>
    <xdr:to>
      <xdr:col>2</xdr:col>
      <xdr:colOff>944880</xdr:colOff>
      <xdr:row>10</xdr:row>
      <xdr:rowOff>106680</xdr:rowOff>
    </xdr:to>
    <xdr:sp macro="" textlink="">
      <xdr:nvSpPr>
        <xdr:cNvPr id="1179" name="Line 14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>
          <a:spLocks noChangeShapeType="1"/>
        </xdr:cNvSpPr>
      </xdr:nvSpPr>
      <xdr:spPr bwMode="auto">
        <a:xfrm flipV="1">
          <a:off x="5227320" y="2171700"/>
          <a:ext cx="815340" cy="76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25</xdr:row>
      <xdr:rowOff>152400</xdr:rowOff>
    </xdr:from>
    <xdr:to>
      <xdr:col>8</xdr:col>
      <xdr:colOff>982980</xdr:colOff>
      <xdr:row>47</xdr:row>
      <xdr:rowOff>0</xdr:rowOff>
    </xdr:to>
    <xdr:graphicFrame macro="">
      <xdr:nvGraphicFramePr>
        <xdr:cNvPr id="8201" name="Chart 1">
          <a:extLst>
            <a:ext uri="{FF2B5EF4-FFF2-40B4-BE49-F238E27FC236}">
              <a16:creationId xmlns:a16="http://schemas.microsoft.com/office/drawing/2014/main" id="{00000000-0008-0000-0100-000009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701040</xdr:colOff>
      <xdr:row>0</xdr:row>
      <xdr:rowOff>0</xdr:rowOff>
    </xdr:from>
    <xdr:to>
      <xdr:col>9</xdr:col>
      <xdr:colOff>0</xdr:colOff>
      <xdr:row>4</xdr:row>
      <xdr:rowOff>68580</xdr:rowOff>
    </xdr:to>
    <xdr:pic>
      <xdr:nvPicPr>
        <xdr:cNvPr id="8202" name="Picture 2" descr="Logo">
          <a:extLst>
            <a:ext uri="{FF2B5EF4-FFF2-40B4-BE49-F238E27FC236}">
              <a16:creationId xmlns:a16="http://schemas.microsoft.com/office/drawing/2014/main" id="{00000000-0008-0000-0100-00000A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2060" y="0"/>
          <a:ext cx="122682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466725</xdr:colOff>
      <xdr:row>47</xdr:row>
      <xdr:rowOff>95250</xdr:rowOff>
    </xdr:from>
    <xdr:to>
      <xdr:col>8</xdr:col>
      <xdr:colOff>995220</xdr:colOff>
      <xdr:row>50</xdr:row>
      <xdr:rowOff>136361</xdr:rowOff>
    </xdr:to>
    <xdr:pic>
      <xdr:nvPicPr>
        <xdr:cNvPr id="6" name="図 1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38575" y="9124950"/>
          <a:ext cx="2862120" cy="612611"/>
        </a:xfrm>
        <a:prstGeom prst="rect">
          <a:avLst/>
        </a:prstGeom>
      </xdr:spPr>
    </xdr:pic>
    <xdr:clientData/>
  </xdr:twoCellAnchor>
  <xdr:twoCellAnchor editAs="oneCell">
    <xdr:from>
      <xdr:col>1</xdr:col>
      <xdr:colOff>28574</xdr:colOff>
      <xdr:row>46</xdr:row>
      <xdr:rowOff>161926</xdr:rowOff>
    </xdr:from>
    <xdr:to>
      <xdr:col>3</xdr:col>
      <xdr:colOff>371475</xdr:colOff>
      <xdr:row>51</xdr:row>
      <xdr:rowOff>43435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Grp="1"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599" y="9001126"/>
          <a:ext cx="1885951" cy="8435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1"/>
  <sheetViews>
    <sheetView tabSelected="1" zoomScaleNormal="100" workbookViewId="0">
      <selection activeCell="B13" sqref="B13"/>
    </sheetView>
  </sheetViews>
  <sheetFormatPr defaultRowHeight="13.9" x14ac:dyDescent="0.4"/>
  <cols>
    <col min="1" max="1" width="35.85546875" bestFit="1" customWidth="1"/>
    <col min="2" max="2" width="42" customWidth="1"/>
    <col min="3" max="3" width="23.85546875" customWidth="1"/>
    <col min="4" max="4" width="19.42578125" customWidth="1"/>
    <col min="5" max="5" width="24" customWidth="1"/>
    <col min="6" max="6" width="10.5703125" bestFit="1" customWidth="1"/>
    <col min="7" max="7" width="14.28515625" customWidth="1"/>
    <col min="8" max="8" width="12.5703125" bestFit="1" customWidth="1"/>
    <col min="9" max="10" width="12.5703125" customWidth="1"/>
    <col min="11" max="11" width="10.7109375" customWidth="1"/>
    <col min="12" max="12" width="15.85546875" bestFit="1" customWidth="1"/>
    <col min="13" max="13" width="17.85546875" bestFit="1" customWidth="1"/>
  </cols>
  <sheetData>
    <row r="1" spans="1:5" ht="28.5" x14ac:dyDescent="0.8">
      <c r="B1" s="5" t="s">
        <v>60</v>
      </c>
      <c r="C1" s="5"/>
    </row>
    <row r="2" spans="1:5" ht="15" customHeight="1" x14ac:dyDescent="0.8">
      <c r="B2" s="5"/>
      <c r="C2" s="5"/>
    </row>
    <row r="3" spans="1:5" ht="15" customHeight="1" x14ac:dyDescent="0.5">
      <c r="A3" s="7" t="s">
        <v>35</v>
      </c>
      <c r="B3" s="117"/>
    </row>
    <row r="4" spans="1:5" ht="15" customHeight="1" thickBot="1" x14ac:dyDescent="0.45">
      <c r="A4" s="7" t="s">
        <v>10</v>
      </c>
      <c r="B4" s="116"/>
    </row>
    <row r="5" spans="1:5" ht="15" customHeight="1" x14ac:dyDescent="0.4">
      <c r="A5" s="7" t="s">
        <v>11</v>
      </c>
      <c r="B5" s="31"/>
      <c r="D5" s="74" t="s">
        <v>50</v>
      </c>
    </row>
    <row r="6" spans="1:5" ht="15" customHeight="1" thickBot="1" x14ac:dyDescent="0.45">
      <c r="A6" s="7" t="s">
        <v>61</v>
      </c>
      <c r="B6" s="103" t="str">
        <f>A69</f>
        <v>AXG032-G</v>
      </c>
      <c r="D6" s="75" t="str">
        <f>IF(OR(D8="ERROR",D9="ERROR",D10="ERROR",D11="ERROR",B18="SPAN ERROR",B6="ERROR - INVALID TYPE"),"ERROR","OK")</f>
        <v>OK</v>
      </c>
      <c r="E6" s="73"/>
    </row>
    <row r="7" spans="1:5" ht="15" customHeight="1" x14ac:dyDescent="0.4">
      <c r="A7" s="7" t="s">
        <v>62</v>
      </c>
      <c r="B7" s="116"/>
      <c r="E7" s="73"/>
    </row>
    <row r="8" spans="1:5" ht="15" customHeight="1" x14ac:dyDescent="0.8">
      <c r="A8" s="9" t="s">
        <v>63</v>
      </c>
      <c r="B8" s="115" t="s">
        <v>149</v>
      </c>
      <c r="C8" s="5"/>
      <c r="D8" t="str">
        <f>IF(AND(B9="PFA",size&lt;=500),"OK",IF(AND(B9="Ceramic",size&lt;=200),"OK","ERROR"))</f>
        <v>OK</v>
      </c>
      <c r="E8" s="73"/>
    </row>
    <row r="9" spans="1:5" ht="15" customHeight="1" x14ac:dyDescent="0.8">
      <c r="A9" s="7" t="s">
        <v>64</v>
      </c>
      <c r="B9" s="55" t="s">
        <v>40</v>
      </c>
      <c r="C9" s="5"/>
      <c r="D9" t="str">
        <f>IF(B8="General Purpose","OK",IF(B8="Submersible","OK",IF(AND(B8="Sanitary",B9="PFA"),"OK",IF(AND(B8="Explosion Proof",B9="PFA"),"OK",IF(AND(B8="Explosion Proof",B9="Ceramic"),"OK","ERROR")))))</f>
        <v>OK</v>
      </c>
    </row>
    <row r="10" spans="1:5" ht="15" customHeight="1" x14ac:dyDescent="0.8">
      <c r="A10" s="7" t="s">
        <v>65</v>
      </c>
      <c r="B10" s="55" t="s">
        <v>113</v>
      </c>
      <c r="C10" s="5"/>
      <c r="D10" t="str">
        <f>IF(AND(OR(B9="PFA",B9="Ceramic"),B10="High Grade (Code C)"),"OK",IF(B10="Standard (Code B)","OK","ERROR"))</f>
        <v>OK</v>
      </c>
      <c r="E10" s="73"/>
    </row>
    <row r="11" spans="1:5" ht="15" customHeight="1" x14ac:dyDescent="0.8">
      <c r="A11" s="7" t="s">
        <v>117</v>
      </c>
      <c r="B11" s="55" t="s">
        <v>116</v>
      </c>
      <c r="C11" s="5"/>
      <c r="D11" t="str">
        <f>IF(size&lt;=400,"OK",IF(AND(size=500,OR(B11="AXFA11G",B11="AXG1A")),"OK","ERROR"))</f>
        <v>OK</v>
      </c>
      <c r="E11" s="73"/>
    </row>
    <row r="12" spans="1:5" x14ac:dyDescent="0.4">
      <c r="A12" s="7" t="s">
        <v>0</v>
      </c>
      <c r="B12" s="28">
        <v>32</v>
      </c>
      <c r="E12" s="72" t="str">
        <f>IF(AND(size&gt;=25,size&lt;=200),"25-200","Other")</f>
        <v>25-200</v>
      </c>
    </row>
    <row r="13" spans="1:5" x14ac:dyDescent="0.4">
      <c r="A13" s="7" t="s">
        <v>15</v>
      </c>
      <c r="B13" s="29">
        <v>100</v>
      </c>
      <c r="C13" s="104" t="s">
        <v>8</v>
      </c>
      <c r="E13" s="73"/>
    </row>
    <row r="14" spans="1:5" x14ac:dyDescent="0.4">
      <c r="E14" s="73"/>
    </row>
    <row r="15" spans="1:5" hidden="1" x14ac:dyDescent="0.4">
      <c r="B15" s="6">
        <f>IF($C$13="l/sec",VLOOKUP($B$12,$B$21:$M$39,4,FALSE),IF($C$13="l/min",VLOOKUP($B$12,$B$21:$M$39,5,FALSE),IF($C$13="l/hr",VLOOKUP($B$12,$B$21:$M$39,6,FALSE),IF($C$13="m3/hr",VLOOKUP($B$12,$B$21:$M$39,7,FALSE),IF($C$13="m3/min",VLOOKUP($B$12,$B$21:$M$39,8,FALSE),IF($C$13="m3/sec",VLOOKUP($B$12,$B$21:$M$39,9,FALSE),IF($C$13="Ml/day",VLOOKUP($B$12,$B$21:M$39,10,FALSE),IF($C$13="bbl(US_Oil)/day",VLOOKUP($B$12,$B$21:$M$39,11,FALSE),IF($C$13="bbl(US_Beer)/day",VLOOKUP($B$12,$B$21:$M$39,12,FALSE),"You have made an error somewhere!")))))))))</f>
        <v>48.254863159139219</v>
      </c>
      <c r="C15" s="6">
        <f>10*B15</f>
        <v>482.54863159139222</v>
      </c>
    </row>
    <row r="16" spans="1:5" x14ac:dyDescent="0.4">
      <c r="A16" t="s">
        <v>1</v>
      </c>
      <c r="B16" s="6">
        <f>B13/B15</f>
        <v>2.0723299881757207</v>
      </c>
      <c r="C16" t="s">
        <v>6</v>
      </c>
    </row>
    <row r="17" spans="1:13" x14ac:dyDescent="0.4">
      <c r="B17" s="30" t="str">
        <f>IF(OR(B8="",B9="",B10="",B11="",size=""),"ENTER: SIZE / TYPE / LINER / CALIBRATION / EXCITATION","")</f>
        <v/>
      </c>
    </row>
    <row r="18" spans="1:13" x14ac:dyDescent="0.4">
      <c r="A18" t="s">
        <v>42</v>
      </c>
      <c r="B18" s="19" t="str">
        <f>IF(AND(B16&gt;=0.1,B16&lt;10),"OK","SPAN ERROR")</f>
        <v>OK</v>
      </c>
    </row>
    <row r="19" spans="1:13" x14ac:dyDescent="0.4">
      <c r="B19" s="56"/>
    </row>
    <row r="20" spans="1:13" ht="15.75" hidden="1" x14ac:dyDescent="0.4">
      <c r="B20" s="1" t="s">
        <v>0</v>
      </c>
      <c r="C20" s="1" t="s">
        <v>16</v>
      </c>
      <c r="D20" s="1" t="s">
        <v>57</v>
      </c>
      <c r="E20" s="1" t="s">
        <v>7</v>
      </c>
      <c r="F20" s="1" t="s">
        <v>8</v>
      </c>
      <c r="G20" s="1" t="s">
        <v>9</v>
      </c>
      <c r="H20" s="1" t="s">
        <v>17</v>
      </c>
      <c r="I20" s="1" t="s">
        <v>18</v>
      </c>
      <c r="J20" s="1" t="s">
        <v>19</v>
      </c>
      <c r="K20" s="1" t="s">
        <v>14</v>
      </c>
      <c r="L20" s="1" t="s">
        <v>58</v>
      </c>
      <c r="M20" s="1" t="s">
        <v>59</v>
      </c>
    </row>
    <row r="21" spans="1:13" hidden="1" x14ac:dyDescent="0.4">
      <c r="B21" s="54">
        <v>2.5</v>
      </c>
      <c r="C21" s="54">
        <f t="shared" ref="C21:C39" si="0">B21</f>
        <v>2.5</v>
      </c>
      <c r="D21" s="2">
        <f>(PI()*((C21/1000)^2))/4</f>
        <v>4.9087385212340517E-6</v>
      </c>
      <c r="E21" s="4">
        <f>D21*1000</f>
        <v>4.9087385212340517E-3</v>
      </c>
      <c r="F21" s="3">
        <f>D21*60*1000</f>
        <v>0.2945243112740431</v>
      </c>
      <c r="G21" s="3">
        <f>D21*3600*1000</f>
        <v>17.671458676442587</v>
      </c>
      <c r="H21" s="4">
        <f>D21*3600</f>
        <v>1.7671458676442587E-2</v>
      </c>
      <c r="I21" s="4">
        <f>D21*60</f>
        <v>2.9452431127404311E-4</v>
      </c>
      <c r="J21" s="4">
        <f>D21</f>
        <v>4.9087385212340517E-6</v>
      </c>
      <c r="K21" s="7">
        <f>D21*24*3.6</f>
        <v>4.2411500823462205E-4</v>
      </c>
      <c r="L21" s="7">
        <f>D21*24*3600*6.289811</f>
        <v>2.6676032440592166</v>
      </c>
      <c r="M21" s="7">
        <f>D21*24*3600*8.52168</f>
        <v>3.6141723833728139</v>
      </c>
    </row>
    <row r="22" spans="1:13" hidden="1" x14ac:dyDescent="0.4">
      <c r="B22" s="54">
        <v>5</v>
      </c>
      <c r="C22" s="54">
        <f t="shared" si="0"/>
        <v>5</v>
      </c>
      <c r="D22" s="2">
        <f>(PI()*((C22/1000)^2))/4</f>
        <v>1.9634954084936207E-5</v>
      </c>
      <c r="E22" s="3">
        <f>D22*1000</f>
        <v>1.9634954084936207E-2</v>
      </c>
      <c r="F22" s="3">
        <f>D22*60*1000</f>
        <v>1.1780972450961724</v>
      </c>
      <c r="G22" s="3">
        <f>D22*3600*1000</f>
        <v>70.685834705770347</v>
      </c>
      <c r="H22" s="4">
        <f>D22*3600</f>
        <v>7.0685834705770348E-2</v>
      </c>
      <c r="I22" s="4">
        <f>D22*60</f>
        <v>1.1780972450961724E-3</v>
      </c>
      <c r="J22" s="4">
        <f>D22</f>
        <v>1.9634954084936207E-5</v>
      </c>
      <c r="K22" s="7">
        <f>D22*24*3.6</f>
        <v>1.6964600329384882E-3</v>
      </c>
      <c r="L22" s="7">
        <f t="shared" ref="L22:L38" si="1">D22*24*3600*6.289811</f>
        <v>10.670412976236866</v>
      </c>
      <c r="M22" s="7">
        <f t="shared" ref="M22:M38" si="2">D22*24*3600*8.52168</f>
        <v>14.456689533491256</v>
      </c>
    </row>
    <row r="23" spans="1:13" hidden="1" x14ac:dyDescent="0.4">
      <c r="B23" s="54">
        <v>10</v>
      </c>
      <c r="C23" s="54">
        <f t="shared" si="0"/>
        <v>10</v>
      </c>
      <c r="D23" s="2">
        <f>(PI()*((C23/1000)^2))/4</f>
        <v>7.8539816339744827E-5</v>
      </c>
      <c r="E23" s="3">
        <f>D23*1000</f>
        <v>7.8539816339744828E-2</v>
      </c>
      <c r="F23" s="3">
        <f>D23*60*1000</f>
        <v>4.7123889803846897</v>
      </c>
      <c r="G23" s="3">
        <f>D23*3600*1000</f>
        <v>282.74333882308139</v>
      </c>
      <c r="H23" s="4">
        <f>D23*3600</f>
        <v>0.28274333882308139</v>
      </c>
      <c r="I23" s="4">
        <f>D23*60</f>
        <v>4.7123889803846897E-3</v>
      </c>
      <c r="J23" s="4">
        <f>D23</f>
        <v>7.8539816339744827E-5</v>
      </c>
      <c r="K23" s="7">
        <f>D23*24*3.6</f>
        <v>6.7858401317539528E-3</v>
      </c>
      <c r="L23" s="7">
        <f t="shared" si="1"/>
        <v>42.681651904947465</v>
      </c>
      <c r="M23" s="7">
        <f t="shared" si="2"/>
        <v>57.826758133965022</v>
      </c>
    </row>
    <row r="24" spans="1:13" hidden="1" x14ac:dyDescent="0.4">
      <c r="B24" s="54">
        <v>15</v>
      </c>
      <c r="C24" s="54">
        <f t="shared" si="0"/>
        <v>15</v>
      </c>
      <c r="D24" s="2">
        <f>(PI()*((C24/1000)^2))/4</f>
        <v>1.7671458676442585E-4</v>
      </c>
      <c r="E24" s="3">
        <f>D24*1000</f>
        <v>0.17671458676442586</v>
      </c>
      <c r="F24" s="3">
        <f>D24*60*1000</f>
        <v>10.602875205865551</v>
      </c>
      <c r="G24" s="3">
        <f>D24*3600*1000</f>
        <v>636.17251235193305</v>
      </c>
      <c r="H24" s="4">
        <f>D24*3600</f>
        <v>0.63617251235193306</v>
      </c>
      <c r="I24" s="4">
        <f>D24*60</f>
        <v>1.0602875205865551E-2</v>
      </c>
      <c r="J24" s="4">
        <f>D24</f>
        <v>1.7671458676442585E-4</v>
      </c>
      <c r="K24" s="7">
        <f>D24*24*3.6</f>
        <v>1.5268140296446396E-2</v>
      </c>
      <c r="L24" s="7">
        <f t="shared" si="1"/>
        <v>96.033716786131805</v>
      </c>
      <c r="M24" s="7">
        <f t="shared" si="2"/>
        <v>130.11020580142133</v>
      </c>
    </row>
    <row r="25" spans="1:13" hidden="1" x14ac:dyDescent="0.4">
      <c r="B25" s="2">
        <v>25</v>
      </c>
      <c r="C25" s="54">
        <f t="shared" si="0"/>
        <v>25</v>
      </c>
      <c r="D25" s="2">
        <f t="shared" ref="D25:D38" si="3">(PI()*((C25/1000)^2))/4</f>
        <v>4.9087385212340522E-4</v>
      </c>
      <c r="E25" s="3">
        <f t="shared" ref="E25:E38" si="4">D25*1000</f>
        <v>0.49087385212340523</v>
      </c>
      <c r="F25" s="3">
        <f t="shared" ref="F25:F38" si="5">D25*60*1000</f>
        <v>29.452431127404314</v>
      </c>
      <c r="G25" s="3">
        <f t="shared" ref="G25:G38" si="6">D25*3600*1000</f>
        <v>1767.1458676442589</v>
      </c>
      <c r="H25" s="4">
        <f t="shared" ref="H25:H38" si="7">D25*3600</f>
        <v>1.7671458676442588</v>
      </c>
      <c r="I25" s="4">
        <f t="shared" ref="I25:I38" si="8">D25*60</f>
        <v>2.9452431127404314E-2</v>
      </c>
      <c r="J25" s="4">
        <f t="shared" ref="J25:J38" si="9">D25</f>
        <v>4.9087385212340522E-4</v>
      </c>
      <c r="K25" s="7">
        <f t="shared" ref="K25:K38" si="10">D25*24*3.6</f>
        <v>4.2411500823462213E-2</v>
      </c>
      <c r="L25" s="7">
        <f t="shared" si="1"/>
        <v>266.76032440592166</v>
      </c>
      <c r="M25" s="7">
        <f t="shared" si="2"/>
        <v>361.41723833728145</v>
      </c>
    </row>
    <row r="26" spans="1:13" hidden="1" x14ac:dyDescent="0.4">
      <c r="B26" s="2">
        <v>32</v>
      </c>
      <c r="C26" s="54">
        <f t="shared" si="0"/>
        <v>32</v>
      </c>
      <c r="D26" s="2">
        <f t="shared" si="3"/>
        <v>8.0424771931898698E-4</v>
      </c>
      <c r="E26" s="3">
        <f t="shared" si="4"/>
        <v>0.80424771931898698</v>
      </c>
      <c r="F26" s="3">
        <f t="shared" si="5"/>
        <v>48.254863159139219</v>
      </c>
      <c r="G26" s="3">
        <f t="shared" si="6"/>
        <v>2895.2917895483533</v>
      </c>
      <c r="H26" s="4">
        <f t="shared" si="7"/>
        <v>2.8952917895483532</v>
      </c>
      <c r="I26" s="4">
        <f t="shared" si="8"/>
        <v>4.8254863159139218E-2</v>
      </c>
      <c r="J26" s="4">
        <f t="shared" si="9"/>
        <v>8.0424771931898698E-4</v>
      </c>
      <c r="K26" s="7">
        <f t="shared" si="10"/>
        <v>6.9487002949160478E-2</v>
      </c>
      <c r="L26" s="7">
        <f t="shared" si="1"/>
        <v>437.06011550666204</v>
      </c>
      <c r="M26" s="7">
        <f t="shared" si="2"/>
        <v>592.14600329180189</v>
      </c>
    </row>
    <row r="27" spans="1:13" hidden="1" x14ac:dyDescent="0.4">
      <c r="B27" s="2">
        <v>40</v>
      </c>
      <c r="C27" s="54">
        <f t="shared" si="0"/>
        <v>40</v>
      </c>
      <c r="D27" s="2">
        <f t="shared" si="3"/>
        <v>1.2566370614359172E-3</v>
      </c>
      <c r="E27" s="3">
        <f t="shared" si="4"/>
        <v>1.2566370614359172</v>
      </c>
      <c r="F27" s="3">
        <f t="shared" si="5"/>
        <v>75.398223686155035</v>
      </c>
      <c r="G27" s="3">
        <f t="shared" si="6"/>
        <v>4523.8934211693022</v>
      </c>
      <c r="H27" s="4">
        <f t="shared" si="7"/>
        <v>4.5238934211693023</v>
      </c>
      <c r="I27" s="4">
        <f t="shared" si="8"/>
        <v>7.5398223686155036E-2</v>
      </c>
      <c r="J27" s="4">
        <f t="shared" si="9"/>
        <v>1.2566370614359172E-3</v>
      </c>
      <c r="K27" s="7">
        <f t="shared" si="10"/>
        <v>0.10857344210806325</v>
      </c>
      <c r="L27" s="7">
        <f t="shared" si="1"/>
        <v>682.90643047915944</v>
      </c>
      <c r="M27" s="7">
        <f t="shared" si="2"/>
        <v>925.22813014344035</v>
      </c>
    </row>
    <row r="28" spans="1:13" hidden="1" x14ac:dyDescent="0.4">
      <c r="B28" s="2">
        <v>50</v>
      </c>
      <c r="C28" s="54">
        <f t="shared" si="0"/>
        <v>50</v>
      </c>
      <c r="D28" s="2">
        <f t="shared" si="3"/>
        <v>1.9634954084936209E-3</v>
      </c>
      <c r="E28" s="3">
        <f t="shared" si="4"/>
        <v>1.9634954084936209</v>
      </c>
      <c r="F28" s="3">
        <f t="shared" si="5"/>
        <v>117.80972450961725</v>
      </c>
      <c r="G28" s="3">
        <f t="shared" si="6"/>
        <v>7068.5834705770358</v>
      </c>
      <c r="H28" s="4">
        <f t="shared" si="7"/>
        <v>7.0685834705770354</v>
      </c>
      <c r="I28" s="4">
        <f t="shared" si="8"/>
        <v>0.11780972450961726</v>
      </c>
      <c r="J28" s="4">
        <f t="shared" si="9"/>
        <v>1.9634954084936209E-3</v>
      </c>
      <c r="K28" s="7">
        <f t="shared" si="10"/>
        <v>0.16964600329384885</v>
      </c>
      <c r="L28" s="7">
        <f t="shared" si="1"/>
        <v>1067.0412976236867</v>
      </c>
      <c r="M28" s="7">
        <f t="shared" si="2"/>
        <v>1445.6689533491258</v>
      </c>
    </row>
    <row r="29" spans="1:13" hidden="1" x14ac:dyDescent="0.4">
      <c r="B29" s="2">
        <v>65</v>
      </c>
      <c r="C29" s="54">
        <f t="shared" si="0"/>
        <v>65</v>
      </c>
      <c r="D29" s="2">
        <f t="shared" si="3"/>
        <v>3.3183072403542195E-3</v>
      </c>
      <c r="E29" s="3">
        <f t="shared" si="4"/>
        <v>3.3183072403542195</v>
      </c>
      <c r="F29" s="3">
        <f t="shared" si="5"/>
        <v>199.09843442125316</v>
      </c>
      <c r="G29" s="3">
        <f t="shared" si="6"/>
        <v>11945.90606527519</v>
      </c>
      <c r="H29" s="4">
        <f t="shared" si="7"/>
        <v>11.94590606527519</v>
      </c>
      <c r="I29" s="4">
        <f t="shared" si="8"/>
        <v>0.19909843442125316</v>
      </c>
      <c r="J29" s="4">
        <f t="shared" si="9"/>
        <v>3.3183072403542195E-3</v>
      </c>
      <c r="K29" s="7">
        <f t="shared" si="10"/>
        <v>0.2867017455666046</v>
      </c>
      <c r="L29" s="7">
        <f t="shared" si="1"/>
        <v>1803.2997929840308</v>
      </c>
      <c r="M29" s="7">
        <f t="shared" si="2"/>
        <v>2443.1805311600228</v>
      </c>
    </row>
    <row r="30" spans="1:13" hidden="1" x14ac:dyDescent="0.4">
      <c r="B30" s="2">
        <v>80</v>
      </c>
      <c r="C30" s="54">
        <f t="shared" si="0"/>
        <v>80</v>
      </c>
      <c r="D30" s="2">
        <f t="shared" si="3"/>
        <v>5.0265482457436689E-3</v>
      </c>
      <c r="E30" s="3">
        <f t="shared" si="4"/>
        <v>5.026548245743669</v>
      </c>
      <c r="F30" s="3">
        <f t="shared" si="5"/>
        <v>301.59289474462014</v>
      </c>
      <c r="G30" s="3">
        <f t="shared" si="6"/>
        <v>18095.573684677209</v>
      </c>
      <c r="H30" s="4">
        <f t="shared" si="7"/>
        <v>18.095573684677209</v>
      </c>
      <c r="I30" s="4">
        <f t="shared" si="8"/>
        <v>0.30159289474462014</v>
      </c>
      <c r="J30" s="4">
        <f t="shared" si="9"/>
        <v>5.0265482457436689E-3</v>
      </c>
      <c r="K30" s="7">
        <f t="shared" si="10"/>
        <v>0.43429376843225298</v>
      </c>
      <c r="L30" s="7">
        <f t="shared" si="1"/>
        <v>2731.6257219166378</v>
      </c>
      <c r="M30" s="7">
        <f t="shared" si="2"/>
        <v>3700.9125205737614</v>
      </c>
    </row>
    <row r="31" spans="1:13" hidden="1" x14ac:dyDescent="0.4">
      <c r="B31" s="2">
        <v>100</v>
      </c>
      <c r="C31" s="54">
        <f t="shared" si="0"/>
        <v>100</v>
      </c>
      <c r="D31" s="2">
        <f t="shared" si="3"/>
        <v>7.8539816339744835E-3</v>
      </c>
      <c r="E31" s="3">
        <f t="shared" si="4"/>
        <v>7.8539816339744837</v>
      </c>
      <c r="F31" s="3">
        <f t="shared" si="5"/>
        <v>471.23889803846902</v>
      </c>
      <c r="G31" s="3">
        <f t="shared" si="6"/>
        <v>28274.333882308143</v>
      </c>
      <c r="H31" s="4">
        <f t="shared" si="7"/>
        <v>28.274333882308142</v>
      </c>
      <c r="I31" s="4">
        <f t="shared" si="8"/>
        <v>0.47123889803846902</v>
      </c>
      <c r="J31" s="4">
        <f t="shared" si="9"/>
        <v>7.8539816339744835E-3</v>
      </c>
      <c r="K31" s="7">
        <f t="shared" si="10"/>
        <v>0.67858401317539541</v>
      </c>
      <c r="L31" s="7">
        <f t="shared" si="1"/>
        <v>4268.1651904947466</v>
      </c>
      <c r="M31" s="7">
        <f t="shared" si="2"/>
        <v>5782.6758133965031</v>
      </c>
    </row>
    <row r="32" spans="1:13" hidden="1" x14ac:dyDescent="0.4">
      <c r="B32" s="2">
        <v>125</v>
      </c>
      <c r="C32" s="54">
        <f t="shared" si="0"/>
        <v>125</v>
      </c>
      <c r="D32" s="2">
        <f t="shared" si="3"/>
        <v>1.2271846303085129E-2</v>
      </c>
      <c r="E32" s="3">
        <f t="shared" si="4"/>
        <v>12.271846303085129</v>
      </c>
      <c r="F32" s="3">
        <f t="shared" si="5"/>
        <v>736.31077818510767</v>
      </c>
      <c r="G32" s="3">
        <f t="shared" si="6"/>
        <v>44178.646691106464</v>
      </c>
      <c r="H32" s="4">
        <f t="shared" si="7"/>
        <v>44.178646691106465</v>
      </c>
      <c r="I32" s="4">
        <f t="shared" si="8"/>
        <v>0.73631077818510771</v>
      </c>
      <c r="J32" s="4">
        <f t="shared" si="9"/>
        <v>1.2271846303085129E-2</v>
      </c>
      <c r="K32" s="7">
        <f t="shared" si="10"/>
        <v>1.0602875205865552</v>
      </c>
      <c r="L32" s="7">
        <f t="shared" si="1"/>
        <v>6669.0081101480419</v>
      </c>
      <c r="M32" s="7">
        <f t="shared" si="2"/>
        <v>9035.4309584320363</v>
      </c>
    </row>
    <row r="33" spans="1:13" hidden="1" x14ac:dyDescent="0.4">
      <c r="B33" s="2">
        <v>150</v>
      </c>
      <c r="C33" s="54">
        <f t="shared" si="0"/>
        <v>150</v>
      </c>
      <c r="D33" s="2">
        <f t="shared" si="3"/>
        <v>1.7671458676442587E-2</v>
      </c>
      <c r="E33" s="3">
        <f t="shared" si="4"/>
        <v>17.671458676442587</v>
      </c>
      <c r="F33" s="3">
        <f t="shared" si="5"/>
        <v>1060.2875205865553</v>
      </c>
      <c r="G33" s="3">
        <f t="shared" si="6"/>
        <v>63617.251235193318</v>
      </c>
      <c r="H33" s="4">
        <f t="shared" si="7"/>
        <v>63.617251235193315</v>
      </c>
      <c r="I33" s="4">
        <f t="shared" si="8"/>
        <v>1.0602875205865552</v>
      </c>
      <c r="J33" s="4">
        <f t="shared" si="9"/>
        <v>1.7671458676442587E-2</v>
      </c>
      <c r="K33" s="7">
        <f t="shared" si="10"/>
        <v>1.5268140296446397</v>
      </c>
      <c r="L33" s="7">
        <f t="shared" si="1"/>
        <v>9603.3716786131808</v>
      </c>
      <c r="M33" s="7">
        <f t="shared" si="2"/>
        <v>13011.020580142131</v>
      </c>
    </row>
    <row r="34" spans="1:13" hidden="1" x14ac:dyDescent="0.4">
      <c r="B34" s="2">
        <v>200</v>
      </c>
      <c r="C34" s="54">
        <f t="shared" si="0"/>
        <v>200</v>
      </c>
      <c r="D34" s="2">
        <f t="shared" si="3"/>
        <v>3.1415926535897934E-2</v>
      </c>
      <c r="E34" s="3">
        <f t="shared" si="4"/>
        <v>31.415926535897935</v>
      </c>
      <c r="F34" s="3">
        <f t="shared" si="5"/>
        <v>1884.9555921538761</v>
      </c>
      <c r="G34" s="3">
        <f t="shared" si="6"/>
        <v>113097.33552923257</v>
      </c>
      <c r="H34" s="4">
        <f t="shared" si="7"/>
        <v>113.09733552923257</v>
      </c>
      <c r="I34" s="4">
        <f t="shared" si="8"/>
        <v>1.8849555921538761</v>
      </c>
      <c r="J34" s="4">
        <f t="shared" si="9"/>
        <v>3.1415926535897934E-2</v>
      </c>
      <c r="K34" s="7">
        <f t="shared" si="10"/>
        <v>2.7143360527015816</v>
      </c>
      <c r="L34" s="7">
        <f t="shared" si="1"/>
        <v>17072.660761978987</v>
      </c>
      <c r="M34" s="7">
        <f t="shared" si="2"/>
        <v>23130.703253586013</v>
      </c>
    </row>
    <row r="35" spans="1:13" hidden="1" x14ac:dyDescent="0.4">
      <c r="B35" s="2">
        <v>250</v>
      </c>
      <c r="C35" s="54">
        <f t="shared" si="0"/>
        <v>250</v>
      </c>
      <c r="D35" s="2">
        <f t="shared" si="3"/>
        <v>4.9087385212340517E-2</v>
      </c>
      <c r="E35" s="3">
        <f t="shared" si="4"/>
        <v>49.087385212340514</v>
      </c>
      <c r="F35" s="3">
        <f t="shared" si="5"/>
        <v>2945.2431127404307</v>
      </c>
      <c r="G35" s="3">
        <f t="shared" si="6"/>
        <v>176714.58676442585</v>
      </c>
      <c r="H35" s="4">
        <f t="shared" si="7"/>
        <v>176.71458676442586</v>
      </c>
      <c r="I35" s="4">
        <f t="shared" si="8"/>
        <v>2.9452431127404308</v>
      </c>
      <c r="J35" s="4">
        <f t="shared" si="9"/>
        <v>4.9087385212340517E-2</v>
      </c>
      <c r="K35" s="7">
        <f t="shared" si="10"/>
        <v>4.2411500823462207</v>
      </c>
      <c r="L35" s="7">
        <f t="shared" si="1"/>
        <v>26676.032440592167</v>
      </c>
      <c r="M35" s="7">
        <f t="shared" si="2"/>
        <v>36141.723833728145</v>
      </c>
    </row>
    <row r="36" spans="1:13" hidden="1" x14ac:dyDescent="0.4">
      <c r="B36" s="2">
        <v>300</v>
      </c>
      <c r="C36" s="54">
        <f t="shared" si="0"/>
        <v>300</v>
      </c>
      <c r="D36" s="2">
        <f t="shared" si="3"/>
        <v>7.0685834705770348E-2</v>
      </c>
      <c r="E36" s="3">
        <f t="shared" si="4"/>
        <v>70.685834705770347</v>
      </c>
      <c r="F36" s="3">
        <f t="shared" si="5"/>
        <v>4241.1500823462211</v>
      </c>
      <c r="G36" s="3">
        <f t="shared" si="6"/>
        <v>254469.00494077327</v>
      </c>
      <c r="H36" s="4">
        <f t="shared" si="7"/>
        <v>254.46900494077326</v>
      </c>
      <c r="I36" s="4">
        <f t="shared" si="8"/>
        <v>4.2411500823462207</v>
      </c>
      <c r="J36" s="4">
        <f t="shared" si="9"/>
        <v>7.0685834705770348E-2</v>
      </c>
      <c r="K36" s="7">
        <f t="shared" si="10"/>
        <v>6.107256118578559</v>
      </c>
      <c r="L36" s="7">
        <f t="shared" si="1"/>
        <v>38413.486714452723</v>
      </c>
      <c r="M36" s="7">
        <f t="shared" si="2"/>
        <v>52044.082320568523</v>
      </c>
    </row>
    <row r="37" spans="1:13" hidden="1" x14ac:dyDescent="0.4">
      <c r="B37" s="2">
        <v>350</v>
      </c>
      <c r="C37" s="54">
        <f t="shared" si="0"/>
        <v>350</v>
      </c>
      <c r="D37" s="2">
        <f t="shared" si="3"/>
        <v>9.6211275016187398E-2</v>
      </c>
      <c r="E37" s="3">
        <f t="shared" si="4"/>
        <v>96.2112750161874</v>
      </c>
      <c r="F37" s="3">
        <f t="shared" si="5"/>
        <v>5772.6765009712435</v>
      </c>
      <c r="G37" s="3">
        <f t="shared" si="6"/>
        <v>346360.59005827463</v>
      </c>
      <c r="H37" s="4">
        <f t="shared" si="7"/>
        <v>346.36059005827462</v>
      </c>
      <c r="I37" s="4">
        <f t="shared" si="8"/>
        <v>5.7726765009712437</v>
      </c>
      <c r="J37" s="4">
        <f t="shared" si="9"/>
        <v>9.6211275016187398E-2</v>
      </c>
      <c r="K37" s="7">
        <f t="shared" si="10"/>
        <v>8.3126541613985907</v>
      </c>
      <c r="L37" s="7">
        <f t="shared" si="1"/>
        <v>52285.023583560629</v>
      </c>
      <c r="M37" s="7">
        <f t="shared" si="2"/>
        <v>70837.778714107131</v>
      </c>
    </row>
    <row r="38" spans="1:13" hidden="1" x14ac:dyDescent="0.4">
      <c r="B38" s="2">
        <v>400</v>
      </c>
      <c r="C38" s="54">
        <f t="shared" si="0"/>
        <v>400</v>
      </c>
      <c r="D38" s="2">
        <f t="shared" si="3"/>
        <v>0.12566370614359174</v>
      </c>
      <c r="E38" s="3">
        <f t="shared" si="4"/>
        <v>125.66370614359174</v>
      </c>
      <c r="F38" s="3">
        <f t="shared" si="5"/>
        <v>7539.8223686155043</v>
      </c>
      <c r="G38" s="3">
        <f t="shared" si="6"/>
        <v>452389.34211693029</v>
      </c>
      <c r="H38" s="4">
        <f t="shared" si="7"/>
        <v>452.38934211693027</v>
      </c>
      <c r="I38" s="4">
        <f t="shared" si="8"/>
        <v>7.5398223686155044</v>
      </c>
      <c r="J38" s="4">
        <f t="shared" si="9"/>
        <v>0.12566370614359174</v>
      </c>
      <c r="K38" s="7">
        <f t="shared" si="10"/>
        <v>10.857344210806327</v>
      </c>
      <c r="L38" s="7">
        <f t="shared" si="1"/>
        <v>68290.643047915946</v>
      </c>
      <c r="M38" s="7">
        <f t="shared" si="2"/>
        <v>92522.81301434405</v>
      </c>
    </row>
    <row r="39" spans="1:13" hidden="1" x14ac:dyDescent="0.4">
      <c r="B39" s="2">
        <v>500</v>
      </c>
      <c r="C39" s="54">
        <f t="shared" si="0"/>
        <v>500</v>
      </c>
      <c r="D39" s="2">
        <f t="shared" ref="D39" si="11">(PI()*((C39/1000)^2))/4</f>
        <v>0.19634954084936207</v>
      </c>
      <c r="E39" s="3">
        <f t="shared" ref="E39" si="12">D39*1000</f>
        <v>196.34954084936206</v>
      </c>
      <c r="F39" s="3">
        <f t="shared" ref="F39" si="13">D39*60*1000</f>
        <v>11780.972450961723</v>
      </c>
      <c r="G39" s="3">
        <f t="shared" ref="G39" si="14">D39*3600*1000</f>
        <v>706858.34705770342</v>
      </c>
      <c r="H39" s="4">
        <f t="shared" ref="H39" si="15">D39*3600</f>
        <v>706.85834705770344</v>
      </c>
      <c r="I39" s="4">
        <f t="shared" ref="I39" si="16">D39*60</f>
        <v>11.780972450961723</v>
      </c>
      <c r="J39" s="4">
        <f t="shared" ref="J39" si="17">D39</f>
        <v>0.19634954084936207</v>
      </c>
      <c r="K39" s="7">
        <f t="shared" ref="K39" si="18">D39*24*3.6</f>
        <v>16.964600329384883</v>
      </c>
      <c r="L39" s="7">
        <f t="shared" ref="L39" si="19">D39*24*3600*6.289811</f>
        <v>106704.12976236867</v>
      </c>
      <c r="M39" s="7">
        <f t="shared" ref="M39" si="20">D39*24*3600*8.52168</f>
        <v>144566.89533491258</v>
      </c>
    </row>
    <row r="40" spans="1:13" hidden="1" x14ac:dyDescent="0.4"/>
    <row r="41" spans="1:13" hidden="1" x14ac:dyDescent="0.4">
      <c r="A41" t="s">
        <v>113</v>
      </c>
      <c r="B41" t="s">
        <v>20</v>
      </c>
      <c r="C41" t="s">
        <v>40</v>
      </c>
      <c r="E41" s="8"/>
    </row>
    <row r="42" spans="1:13" hidden="1" x14ac:dyDescent="0.4">
      <c r="A42" t="s">
        <v>114</v>
      </c>
      <c r="B42" t="s">
        <v>21</v>
      </c>
      <c r="C42" t="s">
        <v>41</v>
      </c>
    </row>
    <row r="43" spans="1:13" hidden="1" x14ac:dyDescent="0.4">
      <c r="B43" t="s">
        <v>38</v>
      </c>
    </row>
    <row r="44" spans="1:13" hidden="1" x14ac:dyDescent="0.4">
      <c r="A44" t="s">
        <v>116</v>
      </c>
      <c r="B44" t="s">
        <v>39</v>
      </c>
    </row>
    <row r="45" spans="1:13" hidden="1" x14ac:dyDescent="0.4">
      <c r="A45" t="s">
        <v>119</v>
      </c>
    </row>
    <row r="46" spans="1:13" hidden="1" x14ac:dyDescent="0.4">
      <c r="A46" t="s">
        <v>144</v>
      </c>
    </row>
    <row r="47" spans="1:13" ht="14.25" hidden="1" thickBot="1" x14ac:dyDescent="0.45"/>
    <row r="48" spans="1:13" ht="14.25" hidden="1" thickBot="1" x14ac:dyDescent="0.45">
      <c r="A48" s="68" t="s">
        <v>61</v>
      </c>
      <c r="B48" s="69" t="s">
        <v>20</v>
      </c>
      <c r="C48" s="69" t="s">
        <v>51</v>
      </c>
      <c r="D48" s="69" t="s">
        <v>38</v>
      </c>
      <c r="E48" s="70" t="s">
        <v>39</v>
      </c>
    </row>
    <row r="49" spans="1:5" hidden="1" x14ac:dyDescent="0.4">
      <c r="A49" s="60">
        <v>2.5</v>
      </c>
      <c r="B49" s="79" t="s">
        <v>69</v>
      </c>
      <c r="C49" s="105" t="s">
        <v>124</v>
      </c>
      <c r="D49" s="61" t="s">
        <v>52</v>
      </c>
      <c r="E49" s="62" t="s">
        <v>52</v>
      </c>
    </row>
    <row r="50" spans="1:5" hidden="1" x14ac:dyDescent="0.4">
      <c r="A50" s="60">
        <v>5</v>
      </c>
      <c r="B50" s="79" t="s">
        <v>70</v>
      </c>
      <c r="C50" s="105" t="s">
        <v>125</v>
      </c>
      <c r="D50" s="61" t="s">
        <v>52</v>
      </c>
      <c r="E50" s="62" t="s">
        <v>52</v>
      </c>
    </row>
    <row r="51" spans="1:5" hidden="1" x14ac:dyDescent="0.4">
      <c r="A51" s="60">
        <v>10</v>
      </c>
      <c r="B51" s="79" t="s">
        <v>71</v>
      </c>
      <c r="C51" s="105" t="s">
        <v>126</v>
      </c>
      <c r="D51" s="61" t="s">
        <v>52</v>
      </c>
      <c r="E51" s="62" t="s">
        <v>52</v>
      </c>
    </row>
    <row r="52" spans="1:5" hidden="1" x14ac:dyDescent="0.4">
      <c r="A52" s="60">
        <v>15</v>
      </c>
      <c r="B52" s="79" t="s">
        <v>72</v>
      </c>
      <c r="C52" s="105" t="s">
        <v>127</v>
      </c>
      <c r="D52" s="79" t="s">
        <v>104</v>
      </c>
      <c r="E52" s="81" t="s">
        <v>88</v>
      </c>
    </row>
    <row r="53" spans="1:5" hidden="1" x14ac:dyDescent="0.4">
      <c r="A53" s="63">
        <v>25</v>
      </c>
      <c r="B53" s="59" t="s">
        <v>73</v>
      </c>
      <c r="C53" s="59" t="s">
        <v>128</v>
      </c>
      <c r="D53" s="79" t="s">
        <v>105</v>
      </c>
      <c r="E53" s="81" t="s">
        <v>89</v>
      </c>
    </row>
    <row r="54" spans="1:5" hidden="1" x14ac:dyDescent="0.4">
      <c r="A54" s="64">
        <v>32</v>
      </c>
      <c r="B54" s="59" t="s">
        <v>74</v>
      </c>
      <c r="C54" s="59" t="s">
        <v>129</v>
      </c>
      <c r="D54" s="79" t="s">
        <v>106</v>
      </c>
      <c r="E54" s="81" t="s">
        <v>90</v>
      </c>
    </row>
    <row r="55" spans="1:5" hidden="1" x14ac:dyDescent="0.4">
      <c r="A55" s="64">
        <v>40</v>
      </c>
      <c r="B55" s="59" t="s">
        <v>75</v>
      </c>
      <c r="C55" s="59" t="s">
        <v>130</v>
      </c>
      <c r="D55" s="79" t="s">
        <v>107</v>
      </c>
      <c r="E55" s="81" t="s">
        <v>91</v>
      </c>
    </row>
    <row r="56" spans="1:5" hidden="1" x14ac:dyDescent="0.4">
      <c r="A56" s="64">
        <v>50</v>
      </c>
      <c r="B56" s="59" t="s">
        <v>76</v>
      </c>
      <c r="C56" s="59" t="s">
        <v>131</v>
      </c>
      <c r="D56" s="79" t="s">
        <v>108</v>
      </c>
      <c r="E56" s="81" t="s">
        <v>92</v>
      </c>
    </row>
    <row r="57" spans="1:5" hidden="1" x14ac:dyDescent="0.4">
      <c r="A57" s="64">
        <v>65</v>
      </c>
      <c r="B57" s="59" t="s">
        <v>77</v>
      </c>
      <c r="C57" s="59" t="s">
        <v>132</v>
      </c>
      <c r="D57" s="79" t="s">
        <v>109</v>
      </c>
      <c r="E57" s="81" t="s">
        <v>93</v>
      </c>
    </row>
    <row r="58" spans="1:5" hidden="1" x14ac:dyDescent="0.4">
      <c r="A58" s="64">
        <v>80</v>
      </c>
      <c r="B58" s="59" t="s">
        <v>78</v>
      </c>
      <c r="C58" s="59" t="s">
        <v>133</v>
      </c>
      <c r="D58" s="79" t="s">
        <v>110</v>
      </c>
      <c r="E58" s="81" t="s">
        <v>94</v>
      </c>
    </row>
    <row r="59" spans="1:5" hidden="1" x14ac:dyDescent="0.4">
      <c r="A59" s="64">
        <v>100</v>
      </c>
      <c r="B59" s="59" t="s">
        <v>79</v>
      </c>
      <c r="C59" s="59" t="s">
        <v>134</v>
      </c>
      <c r="D59" s="79" t="s">
        <v>111</v>
      </c>
      <c r="E59" s="81" t="s">
        <v>95</v>
      </c>
    </row>
    <row r="60" spans="1:5" hidden="1" x14ac:dyDescent="0.4">
      <c r="A60" s="64">
        <v>125</v>
      </c>
      <c r="B60" s="59" t="s">
        <v>80</v>
      </c>
      <c r="C60" s="59" t="s">
        <v>135</v>
      </c>
      <c r="D60" s="79" t="s">
        <v>112</v>
      </c>
      <c r="E60" s="81" t="s">
        <v>96</v>
      </c>
    </row>
    <row r="61" spans="1:5" hidden="1" x14ac:dyDescent="0.4">
      <c r="A61" s="64">
        <v>150</v>
      </c>
      <c r="B61" s="59" t="s">
        <v>81</v>
      </c>
      <c r="C61" s="59" t="s">
        <v>136</v>
      </c>
      <c r="D61" s="61" t="s">
        <v>52</v>
      </c>
      <c r="E61" s="81" t="s">
        <v>97</v>
      </c>
    </row>
    <row r="62" spans="1:5" hidden="1" x14ac:dyDescent="0.4">
      <c r="A62" s="64">
        <v>200</v>
      </c>
      <c r="B62" s="59" t="s">
        <v>82</v>
      </c>
      <c r="C62" s="59" t="s">
        <v>137</v>
      </c>
      <c r="D62" s="61" t="s">
        <v>52</v>
      </c>
      <c r="E62" s="81" t="s">
        <v>98</v>
      </c>
    </row>
    <row r="63" spans="1:5" hidden="1" x14ac:dyDescent="0.4">
      <c r="A63" s="64">
        <v>250</v>
      </c>
      <c r="B63" s="59" t="s">
        <v>83</v>
      </c>
      <c r="C63" s="59" t="s">
        <v>139</v>
      </c>
      <c r="D63" s="61" t="s">
        <v>52</v>
      </c>
      <c r="E63" s="81" t="s">
        <v>99</v>
      </c>
    </row>
    <row r="64" spans="1:5" hidden="1" x14ac:dyDescent="0.4">
      <c r="A64" s="64">
        <v>300</v>
      </c>
      <c r="B64" s="59" t="s">
        <v>84</v>
      </c>
      <c r="C64" s="59" t="s">
        <v>140</v>
      </c>
      <c r="D64" s="61" t="s">
        <v>52</v>
      </c>
      <c r="E64" s="81" t="s">
        <v>100</v>
      </c>
    </row>
    <row r="65" spans="1:5" hidden="1" x14ac:dyDescent="0.4">
      <c r="A65" s="64">
        <v>350</v>
      </c>
      <c r="B65" s="59" t="s">
        <v>85</v>
      </c>
      <c r="C65" s="59" t="s">
        <v>141</v>
      </c>
      <c r="D65" s="61" t="s">
        <v>52</v>
      </c>
      <c r="E65" s="81" t="s">
        <v>101</v>
      </c>
    </row>
    <row r="66" spans="1:5" hidden="1" x14ac:dyDescent="0.4">
      <c r="A66" s="64">
        <v>400</v>
      </c>
      <c r="B66" s="59" t="s">
        <v>86</v>
      </c>
      <c r="C66" s="59" t="s">
        <v>142</v>
      </c>
      <c r="D66" s="61" t="s">
        <v>52</v>
      </c>
      <c r="E66" s="81" t="s">
        <v>102</v>
      </c>
    </row>
    <row r="67" spans="1:5" ht="14.25" hidden="1" thickBot="1" x14ac:dyDescent="0.45">
      <c r="A67" s="65">
        <v>500</v>
      </c>
      <c r="B67" s="66" t="s">
        <v>87</v>
      </c>
      <c r="C67" s="106" t="s">
        <v>138</v>
      </c>
      <c r="D67" s="67" t="s">
        <v>52</v>
      </c>
      <c r="E67" s="82" t="s">
        <v>103</v>
      </c>
    </row>
    <row r="68" spans="1:5" hidden="1" x14ac:dyDescent="0.4">
      <c r="A68" s="80" t="s">
        <v>61</v>
      </c>
    </row>
    <row r="69" spans="1:5" hidden="1" x14ac:dyDescent="0.4">
      <c r="A69" s="71" t="str">
        <f>IF(B8="General Purpose",VLOOKUP(size,A49:E67,2,FALSE),IF(B8="Explosion Proof",VLOOKUP(size,A49:E67,3,FALSE),IF(B8="Sanitary",VLOOKUP(size,A49:E67,4,FALSE),IF(B8="Submersible",VLOOKUP(size,A49:E67,5,FALSE),""))))</f>
        <v>AXG032-G</v>
      </c>
    </row>
    <row r="70" spans="1:5" hidden="1" x14ac:dyDescent="0.4"/>
    <row r="71" spans="1:5" ht="14.25" hidden="1" thickBot="1" x14ac:dyDescent="0.45"/>
    <row r="72" spans="1:5" ht="14.25" hidden="1" thickBot="1" x14ac:dyDescent="0.45">
      <c r="A72" s="68" t="s">
        <v>61</v>
      </c>
      <c r="B72" s="70" t="s">
        <v>53</v>
      </c>
    </row>
    <row r="73" spans="1:5" hidden="1" x14ac:dyDescent="0.4">
      <c r="A73" s="60">
        <v>2.5</v>
      </c>
      <c r="B73" s="23">
        <v>0.1767</v>
      </c>
    </row>
    <row r="74" spans="1:5" hidden="1" x14ac:dyDescent="0.4">
      <c r="A74" s="60">
        <v>5</v>
      </c>
      <c r="B74" s="23">
        <v>0.70679999999999998</v>
      </c>
    </row>
    <row r="75" spans="1:5" hidden="1" x14ac:dyDescent="0.4">
      <c r="A75" s="60">
        <v>10</v>
      </c>
      <c r="B75" s="23">
        <v>2.8273999999999999</v>
      </c>
    </row>
    <row r="76" spans="1:5" hidden="1" x14ac:dyDescent="0.4">
      <c r="A76" s="60">
        <v>15</v>
      </c>
      <c r="B76" s="23">
        <v>6.3616999999999999</v>
      </c>
    </row>
    <row r="77" spans="1:5" hidden="1" x14ac:dyDescent="0.4">
      <c r="A77" s="63">
        <v>25</v>
      </c>
      <c r="B77" s="23">
        <v>17.671399999999998</v>
      </c>
    </row>
    <row r="78" spans="1:5" hidden="1" x14ac:dyDescent="0.4">
      <c r="A78" s="64">
        <v>32</v>
      </c>
      <c r="B78" s="23">
        <v>28.9529</v>
      </c>
    </row>
    <row r="79" spans="1:5" hidden="1" x14ac:dyDescent="0.4">
      <c r="A79" s="64">
        <v>40</v>
      </c>
      <c r="B79" s="23">
        <v>45.238900000000001</v>
      </c>
    </row>
    <row r="80" spans="1:5" hidden="1" x14ac:dyDescent="0.4">
      <c r="A80" s="64">
        <v>50</v>
      </c>
      <c r="B80" s="23">
        <v>70.6858</v>
      </c>
    </row>
    <row r="81" spans="1:2" hidden="1" x14ac:dyDescent="0.4">
      <c r="A81" s="64">
        <v>65</v>
      </c>
      <c r="B81" s="23">
        <v>119.459</v>
      </c>
    </row>
    <row r="82" spans="1:2" hidden="1" x14ac:dyDescent="0.4">
      <c r="A82" s="64">
        <v>80</v>
      </c>
      <c r="B82" s="23">
        <v>180.95500000000001</v>
      </c>
    </row>
    <row r="83" spans="1:2" hidden="1" x14ac:dyDescent="0.4">
      <c r="A83" s="64">
        <v>100</v>
      </c>
      <c r="B83" s="23">
        <v>282.74299999999999</v>
      </c>
    </row>
    <row r="84" spans="1:2" hidden="1" x14ac:dyDescent="0.4">
      <c r="A84" s="64">
        <v>125</v>
      </c>
      <c r="B84" s="23">
        <v>441.786</v>
      </c>
    </row>
    <row r="85" spans="1:2" hidden="1" x14ac:dyDescent="0.4">
      <c r="A85" s="64">
        <v>150</v>
      </c>
      <c r="B85" s="23">
        <v>636.17200000000003</v>
      </c>
    </row>
    <row r="86" spans="1:2" hidden="1" x14ac:dyDescent="0.4">
      <c r="A86" s="64">
        <v>200</v>
      </c>
      <c r="B86" s="23">
        <v>1130.97</v>
      </c>
    </row>
    <row r="87" spans="1:2" hidden="1" x14ac:dyDescent="0.4">
      <c r="A87" s="64">
        <v>250</v>
      </c>
      <c r="B87" s="23">
        <v>1767.14</v>
      </c>
    </row>
    <row r="88" spans="1:2" hidden="1" x14ac:dyDescent="0.4">
      <c r="A88" s="64">
        <v>300</v>
      </c>
      <c r="B88" s="23">
        <v>2544.69</v>
      </c>
    </row>
    <row r="89" spans="1:2" hidden="1" x14ac:dyDescent="0.4">
      <c r="A89" s="64">
        <v>350</v>
      </c>
      <c r="B89" s="23">
        <v>3463.6</v>
      </c>
    </row>
    <row r="90" spans="1:2" hidden="1" x14ac:dyDescent="0.4">
      <c r="A90" s="64">
        <v>400</v>
      </c>
      <c r="B90" s="23">
        <v>4523.8900000000003</v>
      </c>
    </row>
    <row r="91" spans="1:2" ht="14.25" hidden="1" thickBot="1" x14ac:dyDescent="0.45">
      <c r="A91" s="65">
        <v>500</v>
      </c>
      <c r="B91" s="27">
        <v>7068.58</v>
      </c>
    </row>
    <row r="92" spans="1:2" hidden="1" x14ac:dyDescent="0.4"/>
    <row r="93" spans="1:2" hidden="1" x14ac:dyDescent="0.4">
      <c r="A93" t="s">
        <v>54</v>
      </c>
    </row>
    <row r="94" spans="1:2" hidden="1" x14ac:dyDescent="0.4">
      <c r="A94" t="s">
        <v>55</v>
      </c>
    </row>
    <row r="95" spans="1:2" hidden="1" x14ac:dyDescent="0.4">
      <c r="A95" t="s">
        <v>56</v>
      </c>
    </row>
    <row r="96" spans="1:2" hidden="1" x14ac:dyDescent="0.4">
      <c r="A96" s="78" t="s">
        <v>66</v>
      </c>
    </row>
    <row r="97" spans="1:2" hidden="1" x14ac:dyDescent="0.4">
      <c r="A97" t="s">
        <v>123</v>
      </c>
      <c r="B97" t="s">
        <v>67</v>
      </c>
    </row>
    <row r="98" spans="1:2" hidden="1" x14ac:dyDescent="0.4">
      <c r="A98" t="s">
        <v>143</v>
      </c>
    </row>
    <row r="99" spans="1:2" hidden="1" x14ac:dyDescent="0.4">
      <c r="A99" t="s">
        <v>145</v>
      </c>
      <c r="B99" t="s">
        <v>146</v>
      </c>
    </row>
    <row r="100" spans="1:2" hidden="1" x14ac:dyDescent="0.4"/>
    <row r="110" spans="1:2" x14ac:dyDescent="0.4">
      <c r="A110" s="114" t="s">
        <v>147</v>
      </c>
    </row>
    <row r="111" spans="1:2" x14ac:dyDescent="0.4">
      <c r="A111" s="114" t="s">
        <v>148</v>
      </c>
    </row>
  </sheetData>
  <sheetProtection password="C795" sheet="1" selectLockedCells="1"/>
  <protectedRanges>
    <protectedRange sqref="B3:B13 C3:C12" name="Range1"/>
    <protectedRange sqref="C13" name="Range2"/>
  </protectedRanges>
  <phoneticPr fontId="4" type="noConversion"/>
  <dataValidations count="7">
    <dataValidation type="list" allowBlank="1" showInputMessage="1" showErrorMessage="1" sqref="C13" xr:uid="{00000000-0002-0000-0000-000000000000}">
      <formula1>$E$20:$M$20</formula1>
    </dataValidation>
    <dataValidation type="list" allowBlank="1" showInputMessage="1" showErrorMessage="1" sqref="B9" xr:uid="{00000000-0002-0000-0000-000001000000}">
      <formula1>$C$41:$C$42</formula1>
    </dataValidation>
    <dataValidation type="list" allowBlank="1" showInputMessage="1" showErrorMessage="1" sqref="B8" xr:uid="{00000000-0002-0000-0000-000002000000}">
      <formula1>$B$41:$B$44</formula1>
    </dataValidation>
    <dataValidation type="list" allowBlank="1" showInputMessage="1" showErrorMessage="1" sqref="B10" xr:uid="{00000000-0002-0000-0000-000003000000}">
      <formula1>$A$41:$A$42</formula1>
    </dataValidation>
    <dataValidation type="list" allowBlank="1" showInputMessage="1" showErrorMessage="1" sqref="B11" xr:uid="{00000000-0002-0000-0000-000004000000}">
      <formula1>$A$44:$A$46</formula1>
    </dataValidation>
    <dataValidation type="custom" allowBlank="1" showInputMessage="1" showErrorMessage="1" sqref="B6" xr:uid="{00000000-0002-0000-0000-000005000000}">
      <formula1>A69</formula1>
    </dataValidation>
    <dataValidation type="list" allowBlank="1" showInputMessage="1" showErrorMessage="1" sqref="B12" xr:uid="{00000000-0002-0000-0000-000006000000}">
      <formula1>$B$21:$B$39</formula1>
    </dataValidation>
  </dataValidations>
  <pageMargins left="0.75" right="0.75" top="1" bottom="1" header="0.5" footer="0.5"/>
  <pageSetup paperSize="9" scale="97" orientation="portrait" r:id="rId1"/>
  <headerFooter alignWithMargins="0">
    <oddFooter>&amp;CYokogawa Australia Pty Ltd</oddFooter>
  </headerFooter>
  <colBreaks count="1" manualBreakCount="1">
    <brk id="3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1F64F-C55F-4B26-B40B-75C104CFAAD7}">
  <dimension ref="H11:H13"/>
  <sheetViews>
    <sheetView workbookViewId="0">
      <selection activeCell="E7" sqref="E7"/>
    </sheetView>
  </sheetViews>
  <sheetFormatPr defaultRowHeight="13.9" x14ac:dyDescent="0.4"/>
  <sheetData>
    <row r="11" spans="8:8" x14ac:dyDescent="0.4">
      <c r="H11" s="73" t="s">
        <v>150</v>
      </c>
    </row>
    <row r="12" spans="8:8" x14ac:dyDescent="0.4">
      <c r="H12" s="73" t="s">
        <v>151</v>
      </c>
    </row>
    <row r="13" spans="8:8" x14ac:dyDescent="0.4">
      <c r="H13" s="73" t="s">
        <v>152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51"/>
  <sheetViews>
    <sheetView zoomScaleNormal="100" workbookViewId="0">
      <selection activeCell="J52" sqref="J52"/>
    </sheetView>
  </sheetViews>
  <sheetFormatPr defaultRowHeight="13.9" x14ac:dyDescent="0.4"/>
  <cols>
    <col min="1" max="1" width="3" customWidth="1"/>
    <col min="2" max="2" width="12.42578125" customWidth="1"/>
    <col min="3" max="3" width="10.7109375" customWidth="1"/>
    <col min="4" max="4" width="17.42578125" bestFit="1" customWidth="1"/>
    <col min="7" max="7" width="14.7109375" customWidth="1"/>
    <col min="8" max="8" width="11.140625" bestFit="1" customWidth="1"/>
    <col min="9" max="9" width="17" customWidth="1"/>
  </cols>
  <sheetData>
    <row r="1" spans="2:9" x14ac:dyDescent="0.4">
      <c r="B1" s="20"/>
      <c r="C1" s="21"/>
      <c r="D1" s="21"/>
      <c r="E1" s="21"/>
      <c r="F1" s="21"/>
      <c r="G1" s="21"/>
      <c r="H1" s="21"/>
      <c r="I1" s="22"/>
    </row>
    <row r="2" spans="2:9" x14ac:dyDescent="0.4">
      <c r="B2" s="32" t="s">
        <v>68</v>
      </c>
      <c r="I2" s="23"/>
    </row>
    <row r="3" spans="2:9" x14ac:dyDescent="0.4">
      <c r="B3" s="24"/>
      <c r="I3" s="23"/>
    </row>
    <row r="4" spans="2:9" x14ac:dyDescent="0.4">
      <c r="B4" s="24" t="s">
        <v>29</v>
      </c>
      <c r="C4" s="119" t="str">
        <f>IF('Data entry'!B3="","",'Data entry'!B3)</f>
        <v/>
      </c>
      <c r="D4" s="119"/>
      <c r="E4" s="119"/>
      <c r="F4" s="119"/>
      <c r="G4" s="119"/>
      <c r="I4" s="53"/>
    </row>
    <row r="5" spans="2:9" x14ac:dyDescent="0.4">
      <c r="B5" s="24" t="s">
        <v>34</v>
      </c>
      <c r="C5" s="119" t="str">
        <f>IF('Data entry'!B5="","",'Data entry'!B5)</f>
        <v/>
      </c>
      <c r="D5" s="119"/>
      <c r="E5" s="119"/>
      <c r="F5" s="119"/>
      <c r="G5" s="119"/>
      <c r="I5" s="23"/>
    </row>
    <row r="6" spans="2:9" ht="15.4" x14ac:dyDescent="0.4">
      <c r="B6" s="24"/>
      <c r="H6" s="51" t="s">
        <v>33</v>
      </c>
      <c r="I6" s="53" t="str">
        <f>IF('Data entry'!B4="","",'Data entry'!B4)</f>
        <v/>
      </c>
    </row>
    <row r="7" spans="2:9" x14ac:dyDescent="0.4">
      <c r="B7" s="24" t="s">
        <v>30</v>
      </c>
      <c r="C7" s="120" t="str">
        <f>CONCATENATE('Data entry'!B6,'Data entry'!B7)</f>
        <v>AXG032-G</v>
      </c>
      <c r="D7" s="120"/>
      <c r="E7" s="120"/>
      <c r="F7" s="120"/>
      <c r="G7" s="120"/>
      <c r="H7" s="120"/>
      <c r="I7" s="121"/>
    </row>
    <row r="8" spans="2:9" ht="14.25" thickBot="1" x14ac:dyDescent="0.45">
      <c r="B8" s="24" t="s">
        <v>31</v>
      </c>
      <c r="C8" s="118" t="str">
        <f>IF('Data entry'!B8="","",'Data entry'!B8)</f>
        <v>General Purpose</v>
      </c>
      <c r="D8" s="118"/>
      <c r="E8" s="118"/>
      <c r="I8" s="23"/>
    </row>
    <row r="9" spans="2:9" ht="14.25" thickBot="1" x14ac:dyDescent="0.45">
      <c r="B9" s="24" t="s">
        <v>44</v>
      </c>
      <c r="C9" s="118" t="str">
        <f>IF('Data entry'!B9="","",'Data entry'!B9)</f>
        <v>PFA</v>
      </c>
      <c r="D9" s="118"/>
      <c r="E9" s="118"/>
      <c r="G9" s="122" t="s">
        <v>3</v>
      </c>
      <c r="H9" s="123"/>
      <c r="I9" s="52" t="s">
        <v>4</v>
      </c>
    </row>
    <row r="10" spans="2:9" ht="14.25" thickBot="1" x14ac:dyDescent="0.45">
      <c r="B10" s="24" t="s">
        <v>49</v>
      </c>
      <c r="C10" s="118" t="str">
        <f>IF('Data entry'!B12&lt;=400,"Dual Frequency","Pulsed DC")</f>
        <v>Dual Frequency</v>
      </c>
      <c r="D10" s="118"/>
      <c r="E10" s="118"/>
      <c r="G10" s="45" t="str">
        <f>C14</f>
        <v>l/min</v>
      </c>
      <c r="H10" s="46" t="s">
        <v>36</v>
      </c>
      <c r="I10" s="45" t="s">
        <v>24</v>
      </c>
    </row>
    <row r="11" spans="2:9" x14ac:dyDescent="0.4">
      <c r="B11" s="84" t="s">
        <v>120</v>
      </c>
      <c r="C11" s="118" t="str">
        <f>'Data entry'!B11</f>
        <v>AXG Integral or AXG4A</v>
      </c>
      <c r="D11" s="118"/>
      <c r="E11" s="118"/>
      <c r="G11" s="76">
        <f>IF(C16="ERROR",0,C16)</f>
        <v>100</v>
      </c>
      <c r="H11" s="33">
        <v>100</v>
      </c>
      <c r="I11" s="18">
        <f>'AXG Calculator'!Z9</f>
        <v>0.3</v>
      </c>
    </row>
    <row r="12" spans="2:9" x14ac:dyDescent="0.4">
      <c r="B12" s="32" t="s">
        <v>32</v>
      </c>
      <c r="C12" s="83">
        <f>IF(size="","",size)</f>
        <v>32</v>
      </c>
      <c r="D12" s="83" t="s">
        <v>2</v>
      </c>
      <c r="G12" s="76">
        <f t="shared" ref="G12:G21" si="0">(H12/100)*$G$11</f>
        <v>90</v>
      </c>
      <c r="H12" s="33">
        <v>90</v>
      </c>
      <c r="I12" s="18">
        <f>'AXG Calculator'!Z13</f>
        <v>0.3</v>
      </c>
    </row>
    <row r="13" spans="2:9" x14ac:dyDescent="0.4">
      <c r="B13" s="24"/>
      <c r="G13" s="76">
        <f t="shared" si="0"/>
        <v>80</v>
      </c>
      <c r="H13" s="33">
        <v>80</v>
      </c>
      <c r="I13" s="18">
        <f>'AXG Calculator'!Z17</f>
        <v>0.3</v>
      </c>
    </row>
    <row r="14" spans="2:9" x14ac:dyDescent="0.4">
      <c r="B14" s="24" t="s">
        <v>25</v>
      </c>
      <c r="C14" t="str">
        <f>'Data entry'!C13</f>
        <v>l/min</v>
      </c>
      <c r="G14" s="76">
        <f t="shared" si="0"/>
        <v>70</v>
      </c>
      <c r="H14" s="33">
        <v>70</v>
      </c>
      <c r="I14" s="18">
        <f>'AXG Calculator'!Z21</f>
        <v>0.3</v>
      </c>
    </row>
    <row r="15" spans="2:9" x14ac:dyDescent="0.4">
      <c r="B15" s="47" t="s">
        <v>26</v>
      </c>
      <c r="C15" s="35"/>
      <c r="D15" s="36"/>
      <c r="G15" s="76">
        <f t="shared" si="0"/>
        <v>60</v>
      </c>
      <c r="H15" s="33">
        <v>60</v>
      </c>
      <c r="I15" s="18">
        <f>'AXG Calculator'!Z25</f>
        <v>0.3</v>
      </c>
    </row>
    <row r="16" spans="2:9" x14ac:dyDescent="0.4">
      <c r="B16" s="24" t="s">
        <v>37</v>
      </c>
      <c r="C16">
        <f>IF('Data entry'!D6="OK",'Data entry'!B13,"ERROR")</f>
        <v>100</v>
      </c>
      <c r="D16" s="38" t="str">
        <f>C14</f>
        <v>l/min</v>
      </c>
      <c r="G16" s="76">
        <f t="shared" si="0"/>
        <v>50</v>
      </c>
      <c r="H16" s="33">
        <v>50</v>
      </c>
      <c r="I16" s="18">
        <f>'AXG Calculator'!Z29</f>
        <v>0.3</v>
      </c>
    </row>
    <row r="17" spans="2:9" x14ac:dyDescent="0.4">
      <c r="B17" s="48" t="s">
        <v>5</v>
      </c>
      <c r="C17" s="40">
        <v>0</v>
      </c>
      <c r="D17" s="41"/>
      <c r="G17" s="76">
        <f t="shared" si="0"/>
        <v>40</v>
      </c>
      <c r="H17" s="33">
        <v>40</v>
      </c>
      <c r="I17" s="18">
        <f>'AXG Calculator'!Z33</f>
        <v>0.3</v>
      </c>
    </row>
    <row r="18" spans="2:9" x14ac:dyDescent="0.4">
      <c r="B18" s="24"/>
      <c r="G18" s="76">
        <f t="shared" si="0"/>
        <v>30</v>
      </c>
      <c r="H18" s="33">
        <v>30</v>
      </c>
      <c r="I18" s="18">
        <f>'AXG Calculator'!Z37</f>
        <v>0.3</v>
      </c>
    </row>
    <row r="19" spans="2:9" x14ac:dyDescent="0.4">
      <c r="B19" s="47" t="s">
        <v>27</v>
      </c>
      <c r="C19" s="35"/>
      <c r="D19" s="36"/>
      <c r="G19" s="76">
        <f t="shared" si="0"/>
        <v>20</v>
      </c>
      <c r="H19" s="33">
        <v>20</v>
      </c>
      <c r="I19" s="18">
        <f>'AXG Calculator'!Z41</f>
        <v>0.3</v>
      </c>
    </row>
    <row r="20" spans="2:9" x14ac:dyDescent="0.4">
      <c r="B20" s="24" t="s">
        <v>37</v>
      </c>
      <c r="C20" s="16">
        <f>IF('Data entry'!D6="OK",'Data entry'!B16,"ERROR")</f>
        <v>2.0723299881757207</v>
      </c>
      <c r="D20" s="38" t="s">
        <v>6</v>
      </c>
      <c r="G20" s="76">
        <f t="shared" si="0"/>
        <v>10</v>
      </c>
      <c r="H20" s="33">
        <v>10</v>
      </c>
      <c r="I20" s="18">
        <f>'AXG Calculator'!Z45</f>
        <v>0.3</v>
      </c>
    </row>
    <row r="21" spans="2:9" ht="14.25" thickBot="1" x14ac:dyDescent="0.45">
      <c r="B21" s="48" t="s">
        <v>5</v>
      </c>
      <c r="C21" s="40">
        <v>0</v>
      </c>
      <c r="D21" s="41"/>
      <c r="G21" s="77">
        <f t="shared" si="0"/>
        <v>5</v>
      </c>
      <c r="H21" s="44">
        <v>5</v>
      </c>
      <c r="I21" s="43">
        <f>'AXG Calculator'!Z50</f>
        <v>0.48254863159139222</v>
      </c>
    </row>
    <row r="22" spans="2:9" x14ac:dyDescent="0.4">
      <c r="B22" s="24"/>
      <c r="I22" s="23"/>
    </row>
    <row r="23" spans="2:9" x14ac:dyDescent="0.4">
      <c r="B23" s="47" t="s">
        <v>13</v>
      </c>
      <c r="C23" s="35"/>
      <c r="D23" s="36"/>
      <c r="G23" s="34" t="s">
        <v>28</v>
      </c>
      <c r="H23" s="35"/>
      <c r="I23" s="49"/>
    </row>
    <row r="24" spans="2:9" x14ac:dyDescent="0.4">
      <c r="B24" s="24" t="s">
        <v>37</v>
      </c>
      <c r="C24" s="16">
        <f>IF('Data entry'!D6="OK",'Data entry'!C15,"ERROR")</f>
        <v>482.54863159139222</v>
      </c>
      <c r="D24" s="38" t="str">
        <f>C14</f>
        <v>l/min</v>
      </c>
      <c r="G24" s="37" t="s">
        <v>37</v>
      </c>
      <c r="H24" s="17">
        <v>10</v>
      </c>
      <c r="I24" s="23" t="s">
        <v>6</v>
      </c>
    </row>
    <row r="25" spans="2:9" x14ac:dyDescent="0.4">
      <c r="B25" s="48" t="s">
        <v>5</v>
      </c>
      <c r="C25" s="40">
        <v>0</v>
      </c>
      <c r="D25" s="41"/>
      <c r="G25" s="39" t="s">
        <v>5</v>
      </c>
      <c r="H25" s="42">
        <v>0</v>
      </c>
      <c r="I25" s="50"/>
    </row>
    <row r="26" spans="2:9" x14ac:dyDescent="0.4">
      <c r="B26" s="24"/>
      <c r="I26" s="23"/>
    </row>
    <row r="27" spans="2:9" x14ac:dyDescent="0.4">
      <c r="B27" s="24"/>
      <c r="I27" s="23"/>
    </row>
    <row r="28" spans="2:9" x14ac:dyDescent="0.4">
      <c r="B28" s="24"/>
      <c r="I28" s="23"/>
    </row>
    <row r="29" spans="2:9" x14ac:dyDescent="0.4">
      <c r="B29" s="24"/>
      <c r="I29" s="23"/>
    </row>
    <row r="30" spans="2:9" x14ac:dyDescent="0.4">
      <c r="B30" s="24"/>
      <c r="I30" s="23"/>
    </row>
    <row r="31" spans="2:9" x14ac:dyDescent="0.4">
      <c r="B31" s="24"/>
      <c r="I31" s="23"/>
    </row>
    <row r="32" spans="2:9" x14ac:dyDescent="0.4">
      <c r="B32" s="24"/>
      <c r="I32" s="23"/>
    </row>
    <row r="33" spans="2:9" x14ac:dyDescent="0.4">
      <c r="B33" s="24"/>
      <c r="I33" s="23"/>
    </row>
    <row r="34" spans="2:9" x14ac:dyDescent="0.4">
      <c r="B34" s="24"/>
      <c r="I34" s="23"/>
    </row>
    <row r="35" spans="2:9" x14ac:dyDescent="0.4">
      <c r="B35" s="24"/>
      <c r="I35" s="23"/>
    </row>
    <row r="36" spans="2:9" x14ac:dyDescent="0.4">
      <c r="B36" s="24"/>
      <c r="I36" s="23"/>
    </row>
    <row r="37" spans="2:9" x14ac:dyDescent="0.4">
      <c r="B37" s="24"/>
      <c r="I37" s="23"/>
    </row>
    <row r="38" spans="2:9" x14ac:dyDescent="0.4">
      <c r="B38" s="24"/>
      <c r="I38" s="23"/>
    </row>
    <row r="39" spans="2:9" x14ac:dyDescent="0.4">
      <c r="B39" s="24"/>
      <c r="I39" s="23"/>
    </row>
    <row r="40" spans="2:9" x14ac:dyDescent="0.4">
      <c r="B40" s="24"/>
      <c r="I40" s="23"/>
    </row>
    <row r="41" spans="2:9" x14ac:dyDescent="0.4">
      <c r="B41" s="24"/>
      <c r="I41" s="23"/>
    </row>
    <row r="42" spans="2:9" x14ac:dyDescent="0.4">
      <c r="B42" s="24"/>
      <c r="I42" s="23"/>
    </row>
    <row r="43" spans="2:9" x14ac:dyDescent="0.4">
      <c r="B43" s="24"/>
      <c r="I43" s="23"/>
    </row>
    <row r="44" spans="2:9" x14ac:dyDescent="0.4">
      <c r="B44" s="24"/>
      <c r="I44" s="23"/>
    </row>
    <row r="45" spans="2:9" x14ac:dyDescent="0.4">
      <c r="B45" s="24"/>
      <c r="I45" s="23"/>
    </row>
    <row r="46" spans="2:9" x14ac:dyDescent="0.4">
      <c r="B46" s="24"/>
      <c r="I46" s="23"/>
    </row>
    <row r="47" spans="2:9" x14ac:dyDescent="0.4">
      <c r="B47" s="24"/>
      <c r="I47" s="23"/>
    </row>
    <row r="48" spans="2:9" x14ac:dyDescent="0.4">
      <c r="B48" s="24"/>
      <c r="I48" s="23"/>
    </row>
    <row r="49" spans="2:9" x14ac:dyDescent="0.4">
      <c r="B49" s="24"/>
      <c r="I49" s="23"/>
    </row>
    <row r="50" spans="2:9" x14ac:dyDescent="0.4">
      <c r="B50" s="24"/>
      <c r="I50" s="23"/>
    </row>
    <row r="51" spans="2:9" ht="14.25" thickBot="1" x14ac:dyDescent="0.45">
      <c r="B51" s="25"/>
      <c r="C51" s="26"/>
      <c r="D51" s="26"/>
      <c r="E51" s="26"/>
      <c r="F51" s="26"/>
      <c r="G51" s="26"/>
      <c r="H51" s="26"/>
      <c r="I51" s="27"/>
    </row>
  </sheetData>
  <sheetProtection algorithmName="SHA-512" hashValue="cjfro5yA71hz6hzFMjEYubTYNxD6cLgTL+EXbOLhpIjSTY2Bi/qQVYpKjm9O8yH8IIGRCtyxWGtuly4BW2YagA==" saltValue="e8ZCCp+LgUpnOHuYdn/ZGw==" spinCount="100000" sheet="1" objects="1" scenarios="1" selectLockedCells="1" selectUnlockedCells="1"/>
  <mergeCells count="8">
    <mergeCell ref="C11:E11"/>
    <mergeCell ref="C10:E10"/>
    <mergeCell ref="C4:G4"/>
    <mergeCell ref="C7:I7"/>
    <mergeCell ref="G9:H9"/>
    <mergeCell ref="C8:E8"/>
    <mergeCell ref="C5:G5"/>
    <mergeCell ref="C9:E9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8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54"/>
  <sheetViews>
    <sheetView topLeftCell="A19" workbookViewId="0">
      <selection activeCell="B1" sqref="B1"/>
    </sheetView>
  </sheetViews>
  <sheetFormatPr defaultRowHeight="13.9" x14ac:dyDescent="0.4"/>
  <cols>
    <col min="1" max="1" width="2.28515625" customWidth="1"/>
    <col min="2" max="2" width="12.42578125" bestFit="1" customWidth="1"/>
    <col min="3" max="3" width="19.28515625" customWidth="1"/>
    <col min="4" max="4" width="22.85546875" customWidth="1"/>
    <col min="5" max="5" width="3.7109375" customWidth="1"/>
    <col min="6" max="6" width="17" hidden="1" customWidth="1"/>
    <col min="7" max="7" width="3.7109375" hidden="1" customWidth="1"/>
    <col min="8" max="8" width="17.7109375" hidden="1" customWidth="1"/>
    <col min="9" max="9" width="19.42578125" hidden="1" customWidth="1"/>
    <col min="10" max="10" width="3.7109375" hidden="1" customWidth="1"/>
    <col min="11" max="11" width="17" hidden="1" customWidth="1"/>
    <col min="12" max="12" width="3.7109375" hidden="1" customWidth="1"/>
    <col min="13" max="13" width="17.7109375" hidden="1" customWidth="1"/>
    <col min="14" max="14" width="19.42578125" hidden="1" customWidth="1"/>
    <col min="15" max="15" width="5.85546875" hidden="1" customWidth="1"/>
    <col min="16" max="16" width="19.42578125" hidden="1" customWidth="1"/>
    <col min="17" max="17" width="3.7109375" hidden="1" customWidth="1"/>
    <col min="18" max="18" width="17" hidden="1" customWidth="1"/>
    <col min="19" max="19" width="3.7109375" hidden="1" customWidth="1"/>
    <col min="20" max="20" width="17.7109375" hidden="1" customWidth="1"/>
    <col min="21" max="21" width="19.42578125" hidden="1" customWidth="1"/>
    <col min="22" max="22" width="5.85546875" hidden="1" customWidth="1"/>
    <col min="23" max="24" width="19.42578125" hidden="1" customWidth="1"/>
    <col min="25" max="26" width="10.42578125" bestFit="1" customWidth="1"/>
  </cols>
  <sheetData>
    <row r="1" spans="2:26" ht="14.25" thickBot="1" x14ac:dyDescent="0.45">
      <c r="F1" s="100" t="s">
        <v>121</v>
      </c>
      <c r="G1" s="101"/>
      <c r="H1" s="101" t="s">
        <v>121</v>
      </c>
      <c r="I1" s="102" t="s">
        <v>121</v>
      </c>
      <c r="K1" s="100" t="s">
        <v>118</v>
      </c>
      <c r="L1" s="101"/>
      <c r="M1" s="101" t="s">
        <v>118</v>
      </c>
      <c r="N1" s="101" t="s">
        <v>118</v>
      </c>
      <c r="O1" s="101"/>
      <c r="P1" s="102" t="s">
        <v>118</v>
      </c>
      <c r="R1" s="100" t="s">
        <v>144</v>
      </c>
      <c r="S1" s="101"/>
      <c r="T1" s="101" t="s">
        <v>144</v>
      </c>
      <c r="U1" s="101" t="s">
        <v>144</v>
      </c>
      <c r="V1" s="101"/>
      <c r="W1" s="102" t="s">
        <v>144</v>
      </c>
      <c r="X1" s="83"/>
    </row>
    <row r="2" spans="2:26" ht="14.25" thickBot="1" x14ac:dyDescent="0.45">
      <c r="B2" s="11" t="s">
        <v>23</v>
      </c>
      <c r="C2" s="15">
        <f>IF('Data entry'!D6="OK",'Data entry'!B16,0)</f>
        <v>2.0723299881757207</v>
      </c>
      <c r="D2" s="12" t="s">
        <v>6</v>
      </c>
      <c r="F2" s="32" t="s">
        <v>45</v>
      </c>
      <c r="H2" s="124" t="s">
        <v>115</v>
      </c>
      <c r="I2" s="125"/>
      <c r="K2" s="32" t="s">
        <v>45</v>
      </c>
      <c r="M2" s="124" t="s">
        <v>115</v>
      </c>
      <c r="N2" s="124"/>
      <c r="O2" s="107"/>
      <c r="P2" s="99" t="s">
        <v>122</v>
      </c>
      <c r="R2" s="32" t="s">
        <v>45</v>
      </c>
      <c r="T2" s="124" t="s">
        <v>115</v>
      </c>
      <c r="U2" s="124"/>
      <c r="V2" s="107"/>
      <c r="W2" s="99" t="s">
        <v>122</v>
      </c>
      <c r="X2" s="83"/>
    </row>
    <row r="3" spans="2:26" ht="14.25" thickBot="1" x14ac:dyDescent="0.45">
      <c r="B3" s="13" t="s">
        <v>0</v>
      </c>
      <c r="C3" s="14">
        <f>size</f>
        <v>32</v>
      </c>
      <c r="F3" s="85" t="s">
        <v>46</v>
      </c>
      <c r="H3" s="86" t="s">
        <v>46</v>
      </c>
      <c r="I3" s="87" t="s">
        <v>46</v>
      </c>
      <c r="K3" s="85" t="s">
        <v>46</v>
      </c>
      <c r="M3" s="86" t="s">
        <v>46</v>
      </c>
      <c r="N3" s="86" t="s">
        <v>46</v>
      </c>
      <c r="O3" s="86"/>
      <c r="P3" s="87" t="s">
        <v>46</v>
      </c>
      <c r="R3" s="85" t="s">
        <v>46</v>
      </c>
      <c r="T3" s="86" t="s">
        <v>46</v>
      </c>
      <c r="U3" s="86" t="s">
        <v>46</v>
      </c>
      <c r="V3" s="86"/>
      <c r="W3" s="87" t="s">
        <v>46</v>
      </c>
    </row>
    <row r="4" spans="2:26" x14ac:dyDescent="0.4">
      <c r="F4" s="88" t="s">
        <v>113</v>
      </c>
      <c r="H4" s="89" t="s">
        <v>113</v>
      </c>
      <c r="I4" s="90" t="s">
        <v>114</v>
      </c>
      <c r="K4" s="88" t="s">
        <v>113</v>
      </c>
      <c r="M4" s="89" t="s">
        <v>113</v>
      </c>
      <c r="N4" s="89" t="s">
        <v>114</v>
      </c>
      <c r="O4" s="89"/>
      <c r="P4" s="90" t="s">
        <v>113</v>
      </c>
      <c r="R4" s="88" t="s">
        <v>113</v>
      </c>
      <c r="T4" s="89" t="s">
        <v>113</v>
      </c>
      <c r="U4" s="89" t="s">
        <v>114</v>
      </c>
      <c r="V4" s="89"/>
      <c r="W4" s="90" t="s">
        <v>113</v>
      </c>
    </row>
    <row r="5" spans="2:26" x14ac:dyDescent="0.4">
      <c r="B5" t="s">
        <v>47</v>
      </c>
      <c r="C5" t="str">
        <f>'Data entry'!B9</f>
        <v>PFA</v>
      </c>
      <c r="D5" t="str">
        <f>'Data entry'!B11</f>
        <v>AXG Integral or AXG4A</v>
      </c>
      <c r="F5" s="24"/>
      <c r="H5" t="str">
        <f>IF(AND(C3&gt;=25,C3&lt;=400),"TRUE","FALSE")</f>
        <v>TRUE</v>
      </c>
      <c r="I5" s="23" t="str">
        <f>IF(AND(C3&gt;=25,C3&lt;=400),"TRUE","FALSE")</f>
        <v>TRUE</v>
      </c>
      <c r="K5" s="24"/>
      <c r="M5" t="str">
        <f>IF(AND(C3&gt;=25,C3&lt;=400),"TRUE","FALSE")</f>
        <v>TRUE</v>
      </c>
      <c r="N5" t="str">
        <f>IF(AND(C3&gt;=25,C3&lt;=400),"TRUE","FALSE")</f>
        <v>TRUE</v>
      </c>
      <c r="P5" s="23" t="str">
        <f>IF(AND(C3=500,D5="AXFA11G"),"TRUE","FALSE")</f>
        <v>FALSE</v>
      </c>
      <c r="R5" s="24"/>
      <c r="T5" t="str">
        <f>IF(AND(C3&gt;=25,C3&lt;=400),"TRUE","FALSE")</f>
        <v>TRUE</v>
      </c>
      <c r="U5" t="str">
        <f>IF(AND(C3&gt;=25,C3&lt;=400),"TRUE","FALSE")</f>
        <v>TRUE</v>
      </c>
      <c r="W5" s="23" t="str">
        <f>IF(AND(C3=500,D5="AXG1A"),"TRUE","FALSE")</f>
        <v>FALSE</v>
      </c>
    </row>
    <row r="6" spans="2:26" ht="14.25" thickBot="1" x14ac:dyDescent="0.45">
      <c r="B6" t="s">
        <v>48</v>
      </c>
      <c r="C6" t="str">
        <f>'Data entry'!B10</f>
        <v>Standard (Code B)</v>
      </c>
      <c r="F6" s="24"/>
      <c r="H6" t="str">
        <f>IF(AND(C6="Standard (Code B)",D5="AXG Integral or AXG4A"),"TRUE","FALSE")</f>
        <v>TRUE</v>
      </c>
      <c r="I6" s="23" t="str">
        <f>IF(AND(C6="High Grade (Code C)",D5="AXG Integral or AXG4A"),"TRUE","FALSE")</f>
        <v>FALSE</v>
      </c>
      <c r="K6" s="24"/>
      <c r="M6" t="str">
        <f>IF(AND(C6="Standard (Code B)",D5="AXFA11G"),"TRUE","FALSE")</f>
        <v>FALSE</v>
      </c>
      <c r="N6" t="str">
        <f>IF(AND(C6="High Grade (Code C)",D5="AXFA11G"),"TRUE","FALSE")</f>
        <v>FALSE</v>
      </c>
      <c r="P6" s="23"/>
      <c r="R6" s="24"/>
      <c r="T6" t="str">
        <f>IF(AND(C6="Standard (Code B)",D5="AXG1A"),"TRUE","FALSE")</f>
        <v>FALSE</v>
      </c>
      <c r="U6" t="str">
        <f>IF(AND(C6="High Grade (Code C)",D5="AXG1A"),"TRUE","FALSE")</f>
        <v>FALSE</v>
      </c>
      <c r="W6" s="23"/>
    </row>
    <row r="7" spans="2:26" x14ac:dyDescent="0.4">
      <c r="F7" s="91" t="str">
        <f>IF(AND(C3&lt;=15,D5="AXG Integral or AXG4A"),"TRUE","FALSE")</f>
        <v>FALSE</v>
      </c>
      <c r="H7" s="92" t="str">
        <f>IF(AND(H5="TRUE",H6="TRUE"),"TRUE","FALSE")</f>
        <v>TRUE</v>
      </c>
      <c r="I7" s="93" t="str">
        <f>IF(AND(I5="TRUE",I6="TRUE"),"TRUE","FALSE")</f>
        <v>FALSE</v>
      </c>
      <c r="K7" s="91" t="str">
        <f>IF(AND(C3&lt;=15,D5="AXFA11G"),"TRUE","FALSE")</f>
        <v>FALSE</v>
      </c>
      <c r="M7" s="92" t="str">
        <f>IF(AND(M5="TRUE",M6="TRUE"),"TRUE","FALSE")</f>
        <v>FALSE</v>
      </c>
      <c r="N7" s="92" t="str">
        <f>IF(AND(N5="TRUE",N6="TRUE"),"TRUE","FALSE")</f>
        <v>FALSE</v>
      </c>
      <c r="O7" s="92"/>
      <c r="P7" s="93" t="str">
        <f>P5</f>
        <v>FALSE</v>
      </c>
      <c r="R7" s="91" t="str">
        <f>IF(AND(C3&lt;=15,D5="AXG1A"),"TRUE","FALSE")</f>
        <v>FALSE</v>
      </c>
      <c r="T7" s="92" t="str">
        <f>IF(AND(T5="TRUE",T6="TRUE"),"TRUE","FALSE")</f>
        <v>FALSE</v>
      </c>
      <c r="U7" s="92" t="str">
        <f>IF(AND(U5="TRUE",U6="TRUE"),"TRUE","FALSE")</f>
        <v>FALSE</v>
      </c>
      <c r="V7" s="92"/>
      <c r="W7" s="93" t="str">
        <f>W5</f>
        <v>FALSE</v>
      </c>
      <c r="Y7" s="108" t="s">
        <v>12</v>
      </c>
      <c r="Z7" s="109" t="s">
        <v>24</v>
      </c>
    </row>
    <row r="8" spans="2:26" x14ac:dyDescent="0.4">
      <c r="B8" t="s">
        <v>12</v>
      </c>
      <c r="C8" t="s">
        <v>22</v>
      </c>
      <c r="D8" t="s">
        <v>43</v>
      </c>
      <c r="F8" s="24"/>
      <c r="I8" s="23"/>
      <c r="K8" s="24"/>
      <c r="P8" s="23"/>
      <c r="R8" s="24"/>
      <c r="W8" s="23"/>
      <c r="Y8" s="110"/>
      <c r="Z8" s="111"/>
    </row>
    <row r="9" spans="2:26" x14ac:dyDescent="0.4">
      <c r="B9" s="10">
        <v>100</v>
      </c>
      <c r="C9" s="6">
        <f>C2</f>
        <v>2.0723299881757207</v>
      </c>
      <c r="D9" s="6">
        <f>C9*1000</f>
        <v>2072.3299881757207</v>
      </c>
      <c r="F9" s="94">
        <f>IF(C9&gt;=0.3,0.3,((1/D9)*100))</f>
        <v>0.3</v>
      </c>
      <c r="H9" s="6">
        <f>IF(C9&gt;=0.15,0.3,((0.5/D9)*100))</f>
        <v>0.3</v>
      </c>
      <c r="I9" s="95">
        <f>IF(C9&gt;=1,0.15,IF(AND(C9&lt;1,C9&gt;=0.15),(0.18+((0.2/D9)*100)),((0.5/D9)*100)))</f>
        <v>0.15</v>
      </c>
      <c r="K9" s="94">
        <f>IF(C9&gt;=0.3,0.35,((1/D9)*100))</f>
        <v>0.35</v>
      </c>
      <c r="M9" s="6">
        <f>IF(C9&gt;=0.15,0.35,((0.5/D9)*100))</f>
        <v>0.35</v>
      </c>
      <c r="N9" s="6">
        <f>IF(C9&gt;=1,0.2,IF(AND(C9&lt;1,C9&gt;=0.15),(0.18+((0.2/D9)*100)),((0.5/D9)*100)))</f>
        <v>0.2</v>
      </c>
      <c r="O9" s="6"/>
      <c r="P9" s="95">
        <f>IF(C9&gt;=0.3,(0.35+((1/D9)*100)),((2/D9)*100))</f>
        <v>0.39825486315913922</v>
      </c>
      <c r="R9" s="94">
        <f>IF(C9&gt;=0.3,0.3,((1/D9)*100))</f>
        <v>0.3</v>
      </c>
      <c r="T9" s="6">
        <f>IF(C9&gt;=0.15,0.3,((0.5/D9)*100))</f>
        <v>0.3</v>
      </c>
      <c r="U9" s="6">
        <f>IF(C9&gt;=1,0.15,IF(AND(C9&lt;1,C9&gt;=0.15),(0.18+((0.2/D9)*100)),((0.5/D9)*100)))</f>
        <v>0.15</v>
      </c>
      <c r="V9" s="6"/>
      <c r="W9" s="95">
        <f>IF(C9&gt;=0.3,(0.35+((1/D9)*100)),((2/D9)*100))</f>
        <v>0.39825486315913922</v>
      </c>
      <c r="X9" s="6"/>
      <c r="Y9" s="57">
        <v>100</v>
      </c>
      <c r="Z9" s="112">
        <f>IF($F$7="TRUE",F9,IF($H$7="TRUE",H9,IF($I$7="TRUE",I9,IF($K$7="TRUE",K9,IF($M$7="TRUE",M9,IF($N$7="TRUE",N9,IF($P$7="TRUE",P9,IF($R$7="TRUE",R9,IF($T$7="TRUE",T9,IF($U$7="TRUE",U9,IF($W$7="TRUE",W9,"ERROR")))))))))))</f>
        <v>0.3</v>
      </c>
    </row>
    <row r="10" spans="2:26" x14ac:dyDescent="0.4">
      <c r="B10" s="10">
        <v>97.5</v>
      </c>
      <c r="C10" s="6">
        <f>(B10/100)*$C$2</f>
        <v>2.0205217384713277</v>
      </c>
      <c r="D10" s="6">
        <f t="shared" ref="D10:D54" si="0">C10*1000</f>
        <v>2020.5217384713276</v>
      </c>
      <c r="F10" s="94">
        <f t="shared" ref="F10:F54" si="1">IF(C10&gt;=0.3,0.3,((1/D10)*100))</f>
        <v>0.3</v>
      </c>
      <c r="H10" s="6">
        <f t="shared" ref="H10:H54" si="2">IF(C10&gt;=0.15,0.3,((0.5/D10)*100))</f>
        <v>0.3</v>
      </c>
      <c r="I10" s="95">
        <f t="shared" ref="I10:I54" si="3">IF(C10&gt;=1,0.15,IF(AND(C10&lt;1,C10&gt;=0.15),(0.18+((0.2/D10)*100)),((0.5/D10)*100)))</f>
        <v>0.15</v>
      </c>
      <c r="K10" s="94">
        <f t="shared" ref="K10:K54" si="4">IF(C10&gt;=0.3,0.35,((1/D10)*100))</f>
        <v>0.35</v>
      </c>
      <c r="M10" s="6">
        <f t="shared" ref="M10:M54" si="5">IF(C10&gt;=0.15,0.35,((0.5/D10)*100))</f>
        <v>0.35</v>
      </c>
      <c r="N10" s="6">
        <f t="shared" ref="N10:N54" si="6">IF(C10&gt;=1,0.2,IF(AND(C10&lt;1,C10&gt;=0.15),(0.18+((0.2/D10)*100)),((0.5/D10)*100)))</f>
        <v>0.2</v>
      </c>
      <c r="O10" s="6"/>
      <c r="P10" s="95">
        <f t="shared" ref="P10:P54" si="7">IF(C10&gt;=0.3,(0.35+((1/D10)*100)),((2/D10)*100))</f>
        <v>0.39949216734270687</v>
      </c>
      <c r="R10" s="94">
        <f t="shared" ref="R10:R54" si="8">IF(C10&gt;=0.3,0.3,((1/D10)*100))</f>
        <v>0.3</v>
      </c>
      <c r="T10" s="6">
        <f t="shared" ref="T10:T54" si="9">IF(C10&gt;=0.15,0.3,((0.5/D10)*100))</f>
        <v>0.3</v>
      </c>
      <c r="U10" s="6">
        <f t="shared" ref="U10:U54" si="10">IF(C10&gt;=1,0.15,IF(AND(C10&lt;1,C10&gt;=0.15),(0.18+((0.2/D10)*100)),((0.5/D10)*100)))</f>
        <v>0.15</v>
      </c>
      <c r="V10" s="6"/>
      <c r="W10" s="95">
        <f t="shared" ref="W10:W54" si="11">IF(C10&gt;=0.3,(0.35+((1/D10)*100)),((2/D10)*100))</f>
        <v>0.39949216734270687</v>
      </c>
      <c r="X10" s="6"/>
      <c r="Y10" s="57">
        <v>97.5</v>
      </c>
      <c r="Z10" s="112">
        <f t="shared" ref="Z10:Z54" si="12">IF($F$7="TRUE",F10,IF($H$7="TRUE",H10,IF($I$7="TRUE",I10,IF($K$7="TRUE",K10,IF($M$7="TRUE",M10,IF($N$7="TRUE",N10,IF($P$7="TRUE",P10,IF($R$7="TRUE",R10,IF($T$7="TRUE",T10,IF($U$7="TRUE",U10,IF($W$7="TRUE",W10,"ERROR")))))))))))</f>
        <v>0.3</v>
      </c>
    </row>
    <row r="11" spans="2:26" x14ac:dyDescent="0.4">
      <c r="B11" s="10">
        <v>95</v>
      </c>
      <c r="C11" s="6">
        <f t="shared" ref="C11:C54" si="13">(B11/100)*$C$2</f>
        <v>1.9687134887669346</v>
      </c>
      <c r="D11" s="6">
        <f t="shared" si="0"/>
        <v>1968.7134887669347</v>
      </c>
      <c r="F11" s="94">
        <f t="shared" si="1"/>
        <v>0.3</v>
      </c>
      <c r="H11" s="6">
        <f t="shared" si="2"/>
        <v>0.3</v>
      </c>
      <c r="I11" s="95">
        <f t="shared" si="3"/>
        <v>0.15</v>
      </c>
      <c r="K11" s="94">
        <f t="shared" si="4"/>
        <v>0.35</v>
      </c>
      <c r="M11" s="6">
        <f t="shared" si="5"/>
        <v>0.35</v>
      </c>
      <c r="N11" s="6">
        <f t="shared" si="6"/>
        <v>0.2</v>
      </c>
      <c r="O11" s="6"/>
      <c r="P11" s="95">
        <f t="shared" si="7"/>
        <v>0.40079459279909391</v>
      </c>
      <c r="R11" s="94">
        <f t="shared" si="8"/>
        <v>0.3</v>
      </c>
      <c r="T11" s="6">
        <f t="shared" si="9"/>
        <v>0.3</v>
      </c>
      <c r="U11" s="6">
        <f t="shared" si="10"/>
        <v>0.15</v>
      </c>
      <c r="V11" s="6"/>
      <c r="W11" s="95">
        <f t="shared" si="11"/>
        <v>0.40079459279909391</v>
      </c>
      <c r="X11" s="6"/>
      <c r="Y11" s="57">
        <v>95</v>
      </c>
      <c r="Z11" s="112">
        <f t="shared" si="12"/>
        <v>0.3</v>
      </c>
    </row>
    <row r="12" spans="2:26" x14ac:dyDescent="0.4">
      <c r="B12" s="10">
        <v>92.5</v>
      </c>
      <c r="C12" s="6">
        <f t="shared" si="13"/>
        <v>1.9169052390625416</v>
      </c>
      <c r="D12" s="6">
        <f t="shared" si="0"/>
        <v>1916.9052390625416</v>
      </c>
      <c r="F12" s="94">
        <f t="shared" si="1"/>
        <v>0.3</v>
      </c>
      <c r="H12" s="6">
        <f t="shared" si="2"/>
        <v>0.3</v>
      </c>
      <c r="I12" s="95">
        <f t="shared" si="3"/>
        <v>0.15</v>
      </c>
      <c r="K12" s="94">
        <f t="shared" si="4"/>
        <v>0.35</v>
      </c>
      <c r="M12" s="6">
        <f t="shared" si="5"/>
        <v>0.35</v>
      </c>
      <c r="N12" s="6">
        <f t="shared" si="6"/>
        <v>0.2</v>
      </c>
      <c r="O12" s="6"/>
      <c r="P12" s="95">
        <f t="shared" si="7"/>
        <v>0.40216741963150182</v>
      </c>
      <c r="R12" s="94">
        <f t="shared" si="8"/>
        <v>0.3</v>
      </c>
      <c r="T12" s="6">
        <f t="shared" si="9"/>
        <v>0.3</v>
      </c>
      <c r="U12" s="6">
        <f t="shared" si="10"/>
        <v>0.15</v>
      </c>
      <c r="V12" s="6"/>
      <c r="W12" s="95">
        <f t="shared" si="11"/>
        <v>0.40216741963150182</v>
      </c>
      <c r="X12" s="6"/>
      <c r="Y12" s="57">
        <v>92.5</v>
      </c>
      <c r="Z12" s="112">
        <f t="shared" si="12"/>
        <v>0.3</v>
      </c>
    </row>
    <row r="13" spans="2:26" x14ac:dyDescent="0.4">
      <c r="B13" s="10">
        <v>90</v>
      </c>
      <c r="C13" s="6">
        <f t="shared" si="13"/>
        <v>1.8650969893581486</v>
      </c>
      <c r="D13" s="6">
        <f t="shared" si="0"/>
        <v>1865.0969893581487</v>
      </c>
      <c r="F13" s="94">
        <f t="shared" si="1"/>
        <v>0.3</v>
      </c>
      <c r="H13" s="6">
        <f t="shared" si="2"/>
        <v>0.3</v>
      </c>
      <c r="I13" s="95">
        <f t="shared" si="3"/>
        <v>0.15</v>
      </c>
      <c r="K13" s="94">
        <f t="shared" si="4"/>
        <v>0.35</v>
      </c>
      <c r="M13" s="6">
        <f t="shared" si="5"/>
        <v>0.35</v>
      </c>
      <c r="N13" s="6">
        <f t="shared" si="6"/>
        <v>0.2</v>
      </c>
      <c r="O13" s="6"/>
      <c r="P13" s="95">
        <f t="shared" si="7"/>
        <v>0.4036165146212658</v>
      </c>
      <c r="R13" s="94">
        <f t="shared" si="8"/>
        <v>0.3</v>
      </c>
      <c r="T13" s="6">
        <f t="shared" si="9"/>
        <v>0.3</v>
      </c>
      <c r="U13" s="6">
        <f t="shared" si="10"/>
        <v>0.15</v>
      </c>
      <c r="V13" s="6"/>
      <c r="W13" s="95">
        <f t="shared" si="11"/>
        <v>0.4036165146212658</v>
      </c>
      <c r="X13" s="6"/>
      <c r="Y13" s="57">
        <v>90</v>
      </c>
      <c r="Z13" s="112">
        <f t="shared" si="12"/>
        <v>0.3</v>
      </c>
    </row>
    <row r="14" spans="2:26" x14ac:dyDescent="0.4">
      <c r="B14" s="10">
        <v>87.5</v>
      </c>
      <c r="C14" s="6">
        <f t="shared" si="13"/>
        <v>1.8132887396537556</v>
      </c>
      <c r="D14" s="6">
        <f t="shared" si="0"/>
        <v>1813.2887396537556</v>
      </c>
      <c r="F14" s="94">
        <f t="shared" si="1"/>
        <v>0.3</v>
      </c>
      <c r="H14" s="6">
        <f t="shared" si="2"/>
        <v>0.3</v>
      </c>
      <c r="I14" s="95">
        <f t="shared" si="3"/>
        <v>0.15</v>
      </c>
      <c r="K14" s="94">
        <f t="shared" si="4"/>
        <v>0.35</v>
      </c>
      <c r="M14" s="6">
        <f t="shared" si="5"/>
        <v>0.35</v>
      </c>
      <c r="N14" s="6">
        <f t="shared" si="6"/>
        <v>0.2</v>
      </c>
      <c r="O14" s="6"/>
      <c r="P14" s="95">
        <f t="shared" si="7"/>
        <v>0.40514841503901622</v>
      </c>
      <c r="R14" s="94">
        <f t="shared" si="8"/>
        <v>0.3</v>
      </c>
      <c r="T14" s="6">
        <f t="shared" si="9"/>
        <v>0.3</v>
      </c>
      <c r="U14" s="6">
        <f t="shared" si="10"/>
        <v>0.15</v>
      </c>
      <c r="V14" s="6"/>
      <c r="W14" s="95">
        <f t="shared" si="11"/>
        <v>0.40514841503901622</v>
      </c>
      <c r="X14" s="6"/>
      <c r="Y14" s="57">
        <v>87.5</v>
      </c>
      <c r="Z14" s="112">
        <f t="shared" si="12"/>
        <v>0.3</v>
      </c>
    </row>
    <row r="15" spans="2:26" x14ac:dyDescent="0.4">
      <c r="B15" s="10">
        <v>85</v>
      </c>
      <c r="C15" s="6">
        <f t="shared" si="13"/>
        <v>1.7614804899493626</v>
      </c>
      <c r="D15" s="6">
        <f t="shared" si="0"/>
        <v>1761.4804899493627</v>
      </c>
      <c r="F15" s="94">
        <f t="shared" si="1"/>
        <v>0.3</v>
      </c>
      <c r="H15" s="6">
        <f t="shared" si="2"/>
        <v>0.3</v>
      </c>
      <c r="I15" s="95">
        <f t="shared" si="3"/>
        <v>0.15</v>
      </c>
      <c r="K15" s="94">
        <f t="shared" si="4"/>
        <v>0.35</v>
      </c>
      <c r="M15" s="6">
        <f t="shared" si="5"/>
        <v>0.35</v>
      </c>
      <c r="N15" s="6">
        <f t="shared" si="6"/>
        <v>0.2</v>
      </c>
      <c r="O15" s="6"/>
      <c r="P15" s="95">
        <f t="shared" si="7"/>
        <v>0.40677042724604612</v>
      </c>
      <c r="R15" s="94">
        <f t="shared" si="8"/>
        <v>0.3</v>
      </c>
      <c r="T15" s="6">
        <f t="shared" si="9"/>
        <v>0.3</v>
      </c>
      <c r="U15" s="6">
        <f t="shared" si="10"/>
        <v>0.15</v>
      </c>
      <c r="V15" s="6"/>
      <c r="W15" s="95">
        <f t="shared" si="11"/>
        <v>0.40677042724604612</v>
      </c>
      <c r="X15" s="6"/>
      <c r="Y15" s="57">
        <v>85</v>
      </c>
      <c r="Z15" s="112">
        <f t="shared" si="12"/>
        <v>0.3</v>
      </c>
    </row>
    <row r="16" spans="2:26" x14ac:dyDescent="0.4">
      <c r="B16" s="10">
        <v>82.5</v>
      </c>
      <c r="C16" s="6">
        <f t="shared" si="13"/>
        <v>1.7096722402449696</v>
      </c>
      <c r="D16" s="6">
        <f t="shared" si="0"/>
        <v>1709.6722402449695</v>
      </c>
      <c r="F16" s="94">
        <f t="shared" si="1"/>
        <v>0.3</v>
      </c>
      <c r="H16" s="6">
        <f t="shared" si="2"/>
        <v>0.3</v>
      </c>
      <c r="I16" s="95">
        <f t="shared" si="3"/>
        <v>0.15</v>
      </c>
      <c r="K16" s="94">
        <f t="shared" si="4"/>
        <v>0.35</v>
      </c>
      <c r="M16" s="6">
        <f t="shared" si="5"/>
        <v>0.35</v>
      </c>
      <c r="N16" s="6">
        <f t="shared" si="6"/>
        <v>0.2</v>
      </c>
      <c r="O16" s="6"/>
      <c r="P16" s="95">
        <f t="shared" si="7"/>
        <v>0.408490743223199</v>
      </c>
      <c r="R16" s="94">
        <f t="shared" si="8"/>
        <v>0.3</v>
      </c>
      <c r="T16" s="6">
        <f t="shared" si="9"/>
        <v>0.3</v>
      </c>
      <c r="U16" s="6">
        <f t="shared" si="10"/>
        <v>0.15</v>
      </c>
      <c r="V16" s="6"/>
      <c r="W16" s="95">
        <f t="shared" si="11"/>
        <v>0.408490743223199</v>
      </c>
      <c r="X16" s="6"/>
      <c r="Y16" s="57">
        <v>82.5</v>
      </c>
      <c r="Z16" s="112">
        <f t="shared" si="12"/>
        <v>0.3</v>
      </c>
    </row>
    <row r="17" spans="2:26" x14ac:dyDescent="0.4">
      <c r="B17" s="10">
        <v>80</v>
      </c>
      <c r="C17" s="6">
        <f t="shared" si="13"/>
        <v>1.6578639905405765</v>
      </c>
      <c r="D17" s="6">
        <f t="shared" si="0"/>
        <v>1657.8639905405767</v>
      </c>
      <c r="F17" s="94">
        <f t="shared" si="1"/>
        <v>0.3</v>
      </c>
      <c r="H17" s="6">
        <f t="shared" si="2"/>
        <v>0.3</v>
      </c>
      <c r="I17" s="95">
        <f t="shared" si="3"/>
        <v>0.15</v>
      </c>
      <c r="K17" s="94">
        <f t="shared" si="4"/>
        <v>0.35</v>
      </c>
      <c r="M17" s="6">
        <f t="shared" si="5"/>
        <v>0.35</v>
      </c>
      <c r="N17" s="6">
        <f t="shared" si="6"/>
        <v>0.2</v>
      </c>
      <c r="O17" s="6"/>
      <c r="P17" s="95">
        <f t="shared" si="7"/>
        <v>0.41031857894892398</v>
      </c>
      <c r="R17" s="94">
        <f t="shared" si="8"/>
        <v>0.3</v>
      </c>
      <c r="T17" s="6">
        <f t="shared" si="9"/>
        <v>0.3</v>
      </c>
      <c r="U17" s="6">
        <f t="shared" si="10"/>
        <v>0.15</v>
      </c>
      <c r="V17" s="6"/>
      <c r="W17" s="95">
        <f t="shared" si="11"/>
        <v>0.41031857894892398</v>
      </c>
      <c r="X17" s="6"/>
      <c r="Y17" s="57">
        <v>80</v>
      </c>
      <c r="Z17" s="112">
        <f t="shared" si="12"/>
        <v>0.3</v>
      </c>
    </row>
    <row r="18" spans="2:26" x14ac:dyDescent="0.4">
      <c r="B18" s="10">
        <v>77.5</v>
      </c>
      <c r="C18" s="6">
        <f t="shared" si="13"/>
        <v>1.6060557408361835</v>
      </c>
      <c r="D18" s="6">
        <f t="shared" si="0"/>
        <v>1606.0557408361835</v>
      </c>
      <c r="F18" s="94">
        <f t="shared" si="1"/>
        <v>0.3</v>
      </c>
      <c r="H18" s="6">
        <f t="shared" si="2"/>
        <v>0.3</v>
      </c>
      <c r="I18" s="95">
        <f t="shared" si="3"/>
        <v>0.15</v>
      </c>
      <c r="K18" s="94">
        <f t="shared" si="4"/>
        <v>0.35</v>
      </c>
      <c r="M18" s="6">
        <f t="shared" si="5"/>
        <v>0.35</v>
      </c>
      <c r="N18" s="6">
        <f t="shared" si="6"/>
        <v>0.2</v>
      </c>
      <c r="O18" s="6"/>
      <c r="P18" s="95">
        <f t="shared" si="7"/>
        <v>0.4122643395601796</v>
      </c>
      <c r="R18" s="94">
        <f t="shared" si="8"/>
        <v>0.3</v>
      </c>
      <c r="T18" s="6">
        <f t="shared" si="9"/>
        <v>0.3</v>
      </c>
      <c r="U18" s="6">
        <f t="shared" si="10"/>
        <v>0.15</v>
      </c>
      <c r="V18" s="6"/>
      <c r="W18" s="95">
        <f t="shared" si="11"/>
        <v>0.4122643395601796</v>
      </c>
      <c r="X18" s="6"/>
      <c r="Y18" s="57">
        <v>77.5</v>
      </c>
      <c r="Z18" s="112">
        <f t="shared" si="12"/>
        <v>0.3</v>
      </c>
    </row>
    <row r="19" spans="2:26" x14ac:dyDescent="0.4">
      <c r="B19" s="10">
        <v>75</v>
      </c>
      <c r="C19" s="6">
        <f t="shared" si="13"/>
        <v>1.5542474911317905</v>
      </c>
      <c r="D19" s="6">
        <f t="shared" si="0"/>
        <v>1554.2474911317904</v>
      </c>
      <c r="F19" s="94">
        <f t="shared" si="1"/>
        <v>0.3</v>
      </c>
      <c r="H19" s="6">
        <f t="shared" si="2"/>
        <v>0.3</v>
      </c>
      <c r="I19" s="95">
        <f t="shared" si="3"/>
        <v>0.15</v>
      </c>
      <c r="K19" s="94">
        <f t="shared" si="4"/>
        <v>0.35</v>
      </c>
      <c r="M19" s="6">
        <f t="shared" si="5"/>
        <v>0.35</v>
      </c>
      <c r="N19" s="6">
        <f t="shared" si="6"/>
        <v>0.2</v>
      </c>
      <c r="O19" s="6"/>
      <c r="P19" s="95">
        <f t="shared" si="7"/>
        <v>0.41433981754551896</v>
      </c>
      <c r="R19" s="94">
        <f t="shared" si="8"/>
        <v>0.3</v>
      </c>
      <c r="T19" s="6">
        <f t="shared" si="9"/>
        <v>0.3</v>
      </c>
      <c r="U19" s="6">
        <f t="shared" si="10"/>
        <v>0.15</v>
      </c>
      <c r="V19" s="6"/>
      <c r="W19" s="95">
        <f t="shared" si="11"/>
        <v>0.41433981754551896</v>
      </c>
      <c r="X19" s="6"/>
      <c r="Y19" s="57">
        <v>75</v>
      </c>
      <c r="Z19" s="112">
        <f t="shared" si="12"/>
        <v>0.3</v>
      </c>
    </row>
    <row r="20" spans="2:26" x14ac:dyDescent="0.4">
      <c r="B20" s="10">
        <v>72.5</v>
      </c>
      <c r="C20" s="6">
        <f t="shared" si="13"/>
        <v>1.5024392414273975</v>
      </c>
      <c r="D20" s="6">
        <f t="shared" si="0"/>
        <v>1502.4392414273975</v>
      </c>
      <c r="F20" s="94">
        <f t="shared" si="1"/>
        <v>0.3</v>
      </c>
      <c r="H20" s="6">
        <f t="shared" si="2"/>
        <v>0.3</v>
      </c>
      <c r="I20" s="95">
        <f t="shared" si="3"/>
        <v>0.15</v>
      </c>
      <c r="K20" s="94">
        <f t="shared" si="4"/>
        <v>0.35</v>
      </c>
      <c r="M20" s="6">
        <f t="shared" si="5"/>
        <v>0.35</v>
      </c>
      <c r="N20" s="6">
        <f t="shared" si="6"/>
        <v>0.2</v>
      </c>
      <c r="O20" s="6"/>
      <c r="P20" s="95">
        <f t="shared" si="7"/>
        <v>0.41655843194364028</v>
      </c>
      <c r="R20" s="94">
        <f t="shared" si="8"/>
        <v>0.3</v>
      </c>
      <c r="T20" s="6">
        <f t="shared" si="9"/>
        <v>0.3</v>
      </c>
      <c r="U20" s="6">
        <f t="shared" si="10"/>
        <v>0.15</v>
      </c>
      <c r="V20" s="6"/>
      <c r="W20" s="95">
        <f t="shared" si="11"/>
        <v>0.41655843194364028</v>
      </c>
      <c r="X20" s="6"/>
      <c r="Y20" s="57">
        <v>72.5</v>
      </c>
      <c r="Z20" s="112">
        <f t="shared" si="12"/>
        <v>0.3</v>
      </c>
    </row>
    <row r="21" spans="2:26" x14ac:dyDescent="0.4">
      <c r="B21" s="10">
        <v>70</v>
      </c>
      <c r="C21" s="6">
        <f t="shared" si="13"/>
        <v>1.4506309917230045</v>
      </c>
      <c r="D21" s="6">
        <f t="shared" si="0"/>
        <v>1450.6309917230044</v>
      </c>
      <c r="F21" s="94">
        <f t="shared" si="1"/>
        <v>0.3</v>
      </c>
      <c r="H21" s="6">
        <f t="shared" si="2"/>
        <v>0.3</v>
      </c>
      <c r="I21" s="95">
        <f t="shared" si="3"/>
        <v>0.15</v>
      </c>
      <c r="K21" s="94">
        <f t="shared" si="4"/>
        <v>0.35</v>
      </c>
      <c r="M21" s="6">
        <f t="shared" si="5"/>
        <v>0.35</v>
      </c>
      <c r="N21" s="6">
        <f t="shared" si="6"/>
        <v>0.2</v>
      </c>
      <c r="O21" s="6"/>
      <c r="P21" s="95">
        <f t="shared" si="7"/>
        <v>0.41893551879877028</v>
      </c>
      <c r="R21" s="94">
        <f t="shared" si="8"/>
        <v>0.3</v>
      </c>
      <c r="T21" s="6">
        <f t="shared" si="9"/>
        <v>0.3</v>
      </c>
      <c r="U21" s="6">
        <f t="shared" si="10"/>
        <v>0.15</v>
      </c>
      <c r="V21" s="6"/>
      <c r="W21" s="95">
        <f t="shared" si="11"/>
        <v>0.41893551879877028</v>
      </c>
      <c r="X21" s="6"/>
      <c r="Y21" s="57">
        <v>70</v>
      </c>
      <c r="Z21" s="112">
        <f t="shared" si="12"/>
        <v>0.3</v>
      </c>
    </row>
    <row r="22" spans="2:26" x14ac:dyDescent="0.4">
      <c r="B22" s="10">
        <v>67.5</v>
      </c>
      <c r="C22" s="6">
        <f t="shared" si="13"/>
        <v>1.3988227420186115</v>
      </c>
      <c r="D22" s="6">
        <f t="shared" si="0"/>
        <v>1398.8227420186115</v>
      </c>
      <c r="F22" s="94">
        <f t="shared" si="1"/>
        <v>0.3</v>
      </c>
      <c r="H22" s="6">
        <f t="shared" si="2"/>
        <v>0.3</v>
      </c>
      <c r="I22" s="95">
        <f t="shared" si="3"/>
        <v>0.15</v>
      </c>
      <c r="K22" s="94">
        <f t="shared" si="4"/>
        <v>0.35</v>
      </c>
      <c r="M22" s="6">
        <f t="shared" si="5"/>
        <v>0.35</v>
      </c>
      <c r="N22" s="6">
        <f t="shared" si="6"/>
        <v>0.2</v>
      </c>
      <c r="O22" s="6"/>
      <c r="P22" s="95">
        <f t="shared" si="7"/>
        <v>0.42148868616168772</v>
      </c>
      <c r="R22" s="94">
        <f t="shared" si="8"/>
        <v>0.3</v>
      </c>
      <c r="T22" s="6">
        <f t="shared" si="9"/>
        <v>0.3</v>
      </c>
      <c r="U22" s="6">
        <f t="shared" si="10"/>
        <v>0.15</v>
      </c>
      <c r="V22" s="6"/>
      <c r="W22" s="95">
        <f t="shared" si="11"/>
        <v>0.42148868616168772</v>
      </c>
      <c r="X22" s="6"/>
      <c r="Y22" s="57">
        <v>67.5</v>
      </c>
      <c r="Z22" s="112">
        <f t="shared" si="12"/>
        <v>0.3</v>
      </c>
    </row>
    <row r="23" spans="2:26" x14ac:dyDescent="0.4">
      <c r="B23" s="10">
        <v>65</v>
      </c>
      <c r="C23" s="6">
        <f t="shared" si="13"/>
        <v>1.3470144923142184</v>
      </c>
      <c r="D23" s="6">
        <f t="shared" si="0"/>
        <v>1347.0144923142184</v>
      </c>
      <c r="F23" s="94">
        <f t="shared" si="1"/>
        <v>0.3</v>
      </c>
      <c r="H23" s="6">
        <f t="shared" si="2"/>
        <v>0.3</v>
      </c>
      <c r="I23" s="95">
        <f t="shared" si="3"/>
        <v>0.15</v>
      </c>
      <c r="K23" s="94">
        <f t="shared" si="4"/>
        <v>0.35</v>
      </c>
      <c r="M23" s="6">
        <f t="shared" si="5"/>
        <v>0.35</v>
      </c>
      <c r="N23" s="6">
        <f t="shared" si="6"/>
        <v>0.2</v>
      </c>
      <c r="O23" s="6"/>
      <c r="P23" s="95">
        <f t="shared" si="7"/>
        <v>0.42423825101406032</v>
      </c>
      <c r="R23" s="94">
        <f t="shared" si="8"/>
        <v>0.3</v>
      </c>
      <c r="T23" s="6">
        <f t="shared" si="9"/>
        <v>0.3</v>
      </c>
      <c r="U23" s="6">
        <f t="shared" si="10"/>
        <v>0.15</v>
      </c>
      <c r="V23" s="6"/>
      <c r="W23" s="95">
        <f t="shared" si="11"/>
        <v>0.42423825101406032</v>
      </c>
      <c r="X23" s="6"/>
      <c r="Y23" s="57">
        <v>65</v>
      </c>
      <c r="Z23" s="112">
        <f t="shared" si="12"/>
        <v>0.3</v>
      </c>
    </row>
    <row r="24" spans="2:26" x14ac:dyDescent="0.4">
      <c r="B24" s="10">
        <v>62.5</v>
      </c>
      <c r="C24" s="6">
        <f t="shared" si="13"/>
        <v>1.2952062426098254</v>
      </c>
      <c r="D24" s="6">
        <f t="shared" si="0"/>
        <v>1295.2062426098255</v>
      </c>
      <c r="F24" s="94">
        <f t="shared" si="1"/>
        <v>0.3</v>
      </c>
      <c r="H24" s="6">
        <f t="shared" si="2"/>
        <v>0.3</v>
      </c>
      <c r="I24" s="95">
        <f t="shared" si="3"/>
        <v>0.15</v>
      </c>
      <c r="K24" s="94">
        <f t="shared" si="4"/>
        <v>0.35</v>
      </c>
      <c r="M24" s="6">
        <f t="shared" si="5"/>
        <v>0.35</v>
      </c>
      <c r="N24" s="6">
        <f t="shared" si="6"/>
        <v>0.2</v>
      </c>
      <c r="O24" s="6"/>
      <c r="P24" s="95">
        <f t="shared" si="7"/>
        <v>0.42720778105462276</v>
      </c>
      <c r="R24" s="94">
        <f t="shared" si="8"/>
        <v>0.3</v>
      </c>
      <c r="T24" s="6">
        <f t="shared" si="9"/>
        <v>0.3</v>
      </c>
      <c r="U24" s="6">
        <f t="shared" si="10"/>
        <v>0.15</v>
      </c>
      <c r="V24" s="6"/>
      <c r="W24" s="95">
        <f t="shared" si="11"/>
        <v>0.42720778105462276</v>
      </c>
      <c r="X24" s="6"/>
      <c r="Y24" s="57">
        <v>62.5</v>
      </c>
      <c r="Z24" s="112">
        <f t="shared" si="12"/>
        <v>0.3</v>
      </c>
    </row>
    <row r="25" spans="2:26" x14ac:dyDescent="0.4">
      <c r="B25" s="10">
        <v>60</v>
      </c>
      <c r="C25" s="6">
        <f t="shared" si="13"/>
        <v>1.2433979929054324</v>
      </c>
      <c r="D25" s="6">
        <f t="shared" si="0"/>
        <v>1243.3979929054324</v>
      </c>
      <c r="F25" s="94">
        <f t="shared" si="1"/>
        <v>0.3</v>
      </c>
      <c r="H25" s="6">
        <f t="shared" si="2"/>
        <v>0.3</v>
      </c>
      <c r="I25" s="95">
        <f t="shared" si="3"/>
        <v>0.15</v>
      </c>
      <c r="K25" s="94">
        <f t="shared" si="4"/>
        <v>0.35</v>
      </c>
      <c r="M25" s="6">
        <f t="shared" si="5"/>
        <v>0.35</v>
      </c>
      <c r="N25" s="6">
        <f t="shared" si="6"/>
        <v>0.2</v>
      </c>
      <c r="O25" s="6"/>
      <c r="P25" s="95">
        <f t="shared" si="7"/>
        <v>0.43042477193189865</v>
      </c>
      <c r="R25" s="94">
        <f t="shared" si="8"/>
        <v>0.3</v>
      </c>
      <c r="T25" s="6">
        <f t="shared" si="9"/>
        <v>0.3</v>
      </c>
      <c r="U25" s="6">
        <f t="shared" si="10"/>
        <v>0.15</v>
      </c>
      <c r="V25" s="6"/>
      <c r="W25" s="95">
        <f t="shared" si="11"/>
        <v>0.43042477193189865</v>
      </c>
      <c r="X25" s="6"/>
      <c r="Y25" s="57">
        <v>60</v>
      </c>
      <c r="Z25" s="112">
        <f t="shared" si="12"/>
        <v>0.3</v>
      </c>
    </row>
    <row r="26" spans="2:26" x14ac:dyDescent="0.4">
      <c r="B26" s="10">
        <v>57.5</v>
      </c>
      <c r="C26" s="6">
        <f t="shared" si="13"/>
        <v>1.1915897432010394</v>
      </c>
      <c r="D26" s="6">
        <f t="shared" si="0"/>
        <v>1191.5897432010395</v>
      </c>
      <c r="F26" s="94">
        <f t="shared" si="1"/>
        <v>0.3</v>
      </c>
      <c r="H26" s="6">
        <f t="shared" si="2"/>
        <v>0.3</v>
      </c>
      <c r="I26" s="95">
        <f t="shared" si="3"/>
        <v>0.15</v>
      </c>
      <c r="K26" s="94">
        <f t="shared" si="4"/>
        <v>0.35</v>
      </c>
      <c r="M26" s="6">
        <f t="shared" si="5"/>
        <v>0.35</v>
      </c>
      <c r="N26" s="6">
        <f t="shared" si="6"/>
        <v>0.2</v>
      </c>
      <c r="O26" s="6"/>
      <c r="P26" s="95">
        <f t="shared" si="7"/>
        <v>0.43392150114632905</v>
      </c>
      <c r="R26" s="94">
        <f t="shared" si="8"/>
        <v>0.3</v>
      </c>
      <c r="T26" s="6">
        <f t="shared" si="9"/>
        <v>0.3</v>
      </c>
      <c r="U26" s="6">
        <f t="shared" si="10"/>
        <v>0.15</v>
      </c>
      <c r="V26" s="6"/>
      <c r="W26" s="95">
        <f t="shared" si="11"/>
        <v>0.43392150114632905</v>
      </c>
      <c r="X26" s="6"/>
      <c r="Y26" s="57">
        <v>57.5</v>
      </c>
      <c r="Z26" s="112">
        <f t="shared" si="12"/>
        <v>0.3</v>
      </c>
    </row>
    <row r="27" spans="2:26" x14ac:dyDescent="0.4">
      <c r="B27" s="10">
        <v>55</v>
      </c>
      <c r="C27" s="6">
        <f t="shared" si="13"/>
        <v>1.1397814934966464</v>
      </c>
      <c r="D27" s="6">
        <f t="shared" si="0"/>
        <v>1139.7814934966464</v>
      </c>
      <c r="F27" s="94">
        <f t="shared" si="1"/>
        <v>0.3</v>
      </c>
      <c r="H27" s="6">
        <f t="shared" si="2"/>
        <v>0.3</v>
      </c>
      <c r="I27" s="95">
        <f t="shared" si="3"/>
        <v>0.15</v>
      </c>
      <c r="K27" s="94">
        <f t="shared" si="4"/>
        <v>0.35</v>
      </c>
      <c r="M27" s="6">
        <f t="shared" si="5"/>
        <v>0.35</v>
      </c>
      <c r="N27" s="6">
        <f t="shared" si="6"/>
        <v>0.2</v>
      </c>
      <c r="O27" s="6"/>
      <c r="P27" s="95">
        <f t="shared" si="7"/>
        <v>0.43773611483479857</v>
      </c>
      <c r="R27" s="94">
        <f t="shared" si="8"/>
        <v>0.3</v>
      </c>
      <c r="T27" s="6">
        <f t="shared" si="9"/>
        <v>0.3</v>
      </c>
      <c r="U27" s="6">
        <f t="shared" si="10"/>
        <v>0.15</v>
      </c>
      <c r="V27" s="6"/>
      <c r="W27" s="95">
        <f t="shared" si="11"/>
        <v>0.43773611483479857</v>
      </c>
      <c r="X27" s="6"/>
      <c r="Y27" s="57">
        <v>55</v>
      </c>
      <c r="Z27" s="112">
        <f t="shared" si="12"/>
        <v>0.3</v>
      </c>
    </row>
    <row r="28" spans="2:26" x14ac:dyDescent="0.4">
      <c r="B28" s="10">
        <v>52.5</v>
      </c>
      <c r="C28" s="6">
        <f t="shared" si="13"/>
        <v>1.0879732437922534</v>
      </c>
      <c r="D28" s="6">
        <f t="shared" si="0"/>
        <v>1087.9732437922532</v>
      </c>
      <c r="F28" s="94">
        <f t="shared" si="1"/>
        <v>0.3</v>
      </c>
      <c r="H28" s="6">
        <f t="shared" si="2"/>
        <v>0.3</v>
      </c>
      <c r="I28" s="95">
        <f t="shared" si="3"/>
        <v>0.15</v>
      </c>
      <c r="K28" s="94">
        <f t="shared" si="4"/>
        <v>0.35</v>
      </c>
      <c r="M28" s="6">
        <f t="shared" si="5"/>
        <v>0.35</v>
      </c>
      <c r="N28" s="6">
        <f t="shared" si="6"/>
        <v>0.2</v>
      </c>
      <c r="O28" s="6"/>
      <c r="P28" s="95">
        <f t="shared" si="7"/>
        <v>0.44191402506502708</v>
      </c>
      <c r="R28" s="94">
        <f t="shared" si="8"/>
        <v>0.3</v>
      </c>
      <c r="T28" s="6">
        <f t="shared" si="9"/>
        <v>0.3</v>
      </c>
      <c r="U28" s="6">
        <f t="shared" si="10"/>
        <v>0.15</v>
      </c>
      <c r="V28" s="6"/>
      <c r="W28" s="95">
        <f t="shared" si="11"/>
        <v>0.44191402506502708</v>
      </c>
      <c r="X28" s="6"/>
      <c r="Y28" s="57">
        <v>52.5</v>
      </c>
      <c r="Z28" s="112">
        <f t="shared" si="12"/>
        <v>0.3</v>
      </c>
    </row>
    <row r="29" spans="2:26" x14ac:dyDescent="0.4">
      <c r="B29" s="10">
        <v>50</v>
      </c>
      <c r="C29" s="6">
        <f t="shared" si="13"/>
        <v>1.0361649940878603</v>
      </c>
      <c r="D29" s="6">
        <f t="shared" si="0"/>
        <v>1036.1649940878604</v>
      </c>
      <c r="F29" s="94">
        <f t="shared" si="1"/>
        <v>0.3</v>
      </c>
      <c r="H29" s="6">
        <f t="shared" si="2"/>
        <v>0.3</v>
      </c>
      <c r="I29" s="95">
        <f t="shared" si="3"/>
        <v>0.15</v>
      </c>
      <c r="K29" s="94">
        <f t="shared" si="4"/>
        <v>0.35</v>
      </c>
      <c r="M29" s="6">
        <f t="shared" si="5"/>
        <v>0.35</v>
      </c>
      <c r="N29" s="6">
        <f t="shared" si="6"/>
        <v>0.2</v>
      </c>
      <c r="O29" s="6"/>
      <c r="P29" s="95">
        <f t="shared" si="7"/>
        <v>0.44650972631827845</v>
      </c>
      <c r="R29" s="94">
        <f t="shared" si="8"/>
        <v>0.3</v>
      </c>
      <c r="T29" s="6">
        <f t="shared" si="9"/>
        <v>0.3</v>
      </c>
      <c r="U29" s="6">
        <f t="shared" si="10"/>
        <v>0.15</v>
      </c>
      <c r="V29" s="6"/>
      <c r="W29" s="95">
        <f t="shared" si="11"/>
        <v>0.44650972631827845</v>
      </c>
      <c r="X29" s="6"/>
      <c r="Y29" s="57">
        <v>50</v>
      </c>
      <c r="Z29" s="112">
        <f t="shared" si="12"/>
        <v>0.3</v>
      </c>
    </row>
    <row r="30" spans="2:26" x14ac:dyDescent="0.4">
      <c r="B30" s="10">
        <v>47.5</v>
      </c>
      <c r="C30" s="6">
        <f t="shared" si="13"/>
        <v>0.98435674438346732</v>
      </c>
      <c r="D30" s="6">
        <f t="shared" si="0"/>
        <v>984.35674438346734</v>
      </c>
      <c r="F30" s="94">
        <f t="shared" si="1"/>
        <v>0.3</v>
      </c>
      <c r="H30" s="6">
        <f t="shared" si="2"/>
        <v>0.3</v>
      </c>
      <c r="I30" s="95">
        <f t="shared" si="3"/>
        <v>0.20031783711963758</v>
      </c>
      <c r="K30" s="94">
        <f t="shared" si="4"/>
        <v>0.35</v>
      </c>
      <c r="M30" s="6">
        <f t="shared" si="5"/>
        <v>0.35</v>
      </c>
      <c r="N30" s="6">
        <f t="shared" si="6"/>
        <v>0.20031783711963758</v>
      </c>
      <c r="O30" s="6"/>
      <c r="P30" s="95">
        <f t="shared" si="7"/>
        <v>0.45158918559818784</v>
      </c>
      <c r="R30" s="94">
        <f t="shared" si="8"/>
        <v>0.3</v>
      </c>
      <c r="T30" s="6">
        <f t="shared" si="9"/>
        <v>0.3</v>
      </c>
      <c r="U30" s="6">
        <f t="shared" si="10"/>
        <v>0.20031783711963758</v>
      </c>
      <c r="V30" s="6"/>
      <c r="W30" s="95">
        <f t="shared" si="11"/>
        <v>0.45158918559818784</v>
      </c>
      <c r="X30" s="6"/>
      <c r="Y30" s="57">
        <v>47.5</v>
      </c>
      <c r="Z30" s="112">
        <f t="shared" si="12"/>
        <v>0.3</v>
      </c>
    </row>
    <row r="31" spans="2:26" x14ac:dyDescent="0.4">
      <c r="B31" s="10">
        <v>45</v>
      </c>
      <c r="C31" s="6">
        <f t="shared" si="13"/>
        <v>0.9325484946790743</v>
      </c>
      <c r="D31" s="6">
        <f t="shared" si="0"/>
        <v>932.54849467907434</v>
      </c>
      <c r="F31" s="94">
        <f t="shared" si="1"/>
        <v>0.3</v>
      </c>
      <c r="H31" s="6">
        <f t="shared" si="2"/>
        <v>0.3</v>
      </c>
      <c r="I31" s="95">
        <f t="shared" si="3"/>
        <v>0.20144660584850632</v>
      </c>
      <c r="K31" s="94">
        <f t="shared" si="4"/>
        <v>0.35</v>
      </c>
      <c r="M31" s="6">
        <f t="shared" si="5"/>
        <v>0.35</v>
      </c>
      <c r="N31" s="6">
        <f t="shared" si="6"/>
        <v>0.20144660584850632</v>
      </c>
      <c r="O31" s="6"/>
      <c r="P31" s="95">
        <f t="shared" si="7"/>
        <v>0.45723302924253156</v>
      </c>
      <c r="R31" s="94">
        <f t="shared" si="8"/>
        <v>0.3</v>
      </c>
      <c r="T31" s="6">
        <f t="shared" si="9"/>
        <v>0.3</v>
      </c>
      <c r="U31" s="6">
        <f t="shared" si="10"/>
        <v>0.20144660584850632</v>
      </c>
      <c r="V31" s="6"/>
      <c r="W31" s="95">
        <f t="shared" si="11"/>
        <v>0.45723302924253156</v>
      </c>
      <c r="X31" s="6"/>
      <c r="Y31" s="57">
        <v>45</v>
      </c>
      <c r="Z31" s="112">
        <f t="shared" si="12"/>
        <v>0.3</v>
      </c>
    </row>
    <row r="32" spans="2:26" x14ac:dyDescent="0.4">
      <c r="B32" s="10">
        <v>42.5</v>
      </c>
      <c r="C32" s="6">
        <f t="shared" si="13"/>
        <v>0.88074024497468129</v>
      </c>
      <c r="D32" s="6">
        <f t="shared" si="0"/>
        <v>880.74024497468133</v>
      </c>
      <c r="F32" s="94">
        <f t="shared" si="1"/>
        <v>0.3</v>
      </c>
      <c r="H32" s="6">
        <f t="shared" si="2"/>
        <v>0.3</v>
      </c>
      <c r="I32" s="95">
        <f t="shared" si="3"/>
        <v>0.20270817089841844</v>
      </c>
      <c r="K32" s="94">
        <f t="shared" si="4"/>
        <v>0.35</v>
      </c>
      <c r="M32" s="6">
        <f t="shared" si="5"/>
        <v>0.35</v>
      </c>
      <c r="N32" s="6">
        <f t="shared" si="6"/>
        <v>0.20270817089841844</v>
      </c>
      <c r="O32" s="6"/>
      <c r="P32" s="95">
        <f t="shared" si="7"/>
        <v>0.46354085449209226</v>
      </c>
      <c r="R32" s="94">
        <f t="shared" si="8"/>
        <v>0.3</v>
      </c>
      <c r="T32" s="6">
        <f t="shared" si="9"/>
        <v>0.3</v>
      </c>
      <c r="U32" s="6">
        <f t="shared" si="10"/>
        <v>0.20270817089841844</v>
      </c>
      <c r="V32" s="6"/>
      <c r="W32" s="95">
        <f t="shared" si="11"/>
        <v>0.46354085449209226</v>
      </c>
      <c r="X32" s="6"/>
      <c r="Y32" s="57">
        <v>42.5</v>
      </c>
      <c r="Z32" s="112">
        <f t="shared" si="12"/>
        <v>0.3</v>
      </c>
    </row>
    <row r="33" spans="2:26" x14ac:dyDescent="0.4">
      <c r="B33" s="10">
        <v>40</v>
      </c>
      <c r="C33" s="6">
        <f t="shared" si="13"/>
        <v>0.82893199527028827</v>
      </c>
      <c r="D33" s="6">
        <f t="shared" si="0"/>
        <v>828.93199527028833</v>
      </c>
      <c r="F33" s="94">
        <f t="shared" si="1"/>
        <v>0.3</v>
      </c>
      <c r="H33" s="6">
        <f t="shared" si="2"/>
        <v>0.3</v>
      </c>
      <c r="I33" s="95">
        <f t="shared" si="3"/>
        <v>0.20412743157956961</v>
      </c>
      <c r="K33" s="94">
        <f t="shared" si="4"/>
        <v>0.35</v>
      </c>
      <c r="M33" s="6">
        <f t="shared" si="5"/>
        <v>0.35</v>
      </c>
      <c r="N33" s="6">
        <f t="shared" si="6"/>
        <v>0.20412743157956961</v>
      </c>
      <c r="O33" s="6"/>
      <c r="P33" s="95">
        <f t="shared" si="7"/>
        <v>0.47063715789784805</v>
      </c>
      <c r="R33" s="94">
        <f t="shared" si="8"/>
        <v>0.3</v>
      </c>
      <c r="T33" s="6">
        <f t="shared" si="9"/>
        <v>0.3</v>
      </c>
      <c r="U33" s="6">
        <f t="shared" si="10"/>
        <v>0.20412743157956961</v>
      </c>
      <c r="V33" s="6"/>
      <c r="W33" s="95">
        <f t="shared" si="11"/>
        <v>0.47063715789784805</v>
      </c>
      <c r="X33" s="6"/>
      <c r="Y33" s="57">
        <v>40</v>
      </c>
      <c r="Z33" s="112">
        <f t="shared" si="12"/>
        <v>0.3</v>
      </c>
    </row>
    <row r="34" spans="2:26" x14ac:dyDescent="0.4">
      <c r="B34" s="10">
        <v>37.5</v>
      </c>
      <c r="C34" s="6">
        <f t="shared" si="13"/>
        <v>0.77712374556589525</v>
      </c>
      <c r="D34" s="6">
        <f t="shared" si="0"/>
        <v>777.12374556589521</v>
      </c>
      <c r="F34" s="94">
        <f t="shared" si="1"/>
        <v>0.3</v>
      </c>
      <c r="H34" s="6">
        <f t="shared" si="2"/>
        <v>0.3</v>
      </c>
      <c r="I34" s="95">
        <f t="shared" si="3"/>
        <v>0.20573592701820759</v>
      </c>
      <c r="K34" s="94">
        <f t="shared" si="4"/>
        <v>0.35</v>
      </c>
      <c r="M34" s="6">
        <f t="shared" si="5"/>
        <v>0.35</v>
      </c>
      <c r="N34" s="6">
        <f t="shared" si="6"/>
        <v>0.20573592701820759</v>
      </c>
      <c r="O34" s="6"/>
      <c r="P34" s="95">
        <f t="shared" si="7"/>
        <v>0.47867963509103795</v>
      </c>
      <c r="R34" s="94">
        <f t="shared" si="8"/>
        <v>0.3</v>
      </c>
      <c r="T34" s="6">
        <f t="shared" si="9"/>
        <v>0.3</v>
      </c>
      <c r="U34" s="6">
        <f t="shared" si="10"/>
        <v>0.20573592701820759</v>
      </c>
      <c r="V34" s="6"/>
      <c r="W34" s="95">
        <f t="shared" si="11"/>
        <v>0.47867963509103795</v>
      </c>
      <c r="X34" s="6"/>
      <c r="Y34" s="57">
        <v>37.5</v>
      </c>
      <c r="Z34" s="112">
        <f t="shared" si="12"/>
        <v>0.3</v>
      </c>
    </row>
    <row r="35" spans="2:26" x14ac:dyDescent="0.4">
      <c r="B35" s="10">
        <v>35</v>
      </c>
      <c r="C35" s="6">
        <f t="shared" si="13"/>
        <v>0.72531549586150224</v>
      </c>
      <c r="D35" s="6">
        <f t="shared" si="0"/>
        <v>725.3154958615022</v>
      </c>
      <c r="F35" s="94">
        <f t="shared" si="1"/>
        <v>0.3</v>
      </c>
      <c r="H35" s="6">
        <f t="shared" si="2"/>
        <v>0.3</v>
      </c>
      <c r="I35" s="95">
        <f t="shared" si="3"/>
        <v>0.20757420751950811</v>
      </c>
      <c r="K35" s="94">
        <f t="shared" si="4"/>
        <v>0.35</v>
      </c>
      <c r="M35" s="6">
        <f t="shared" si="5"/>
        <v>0.35</v>
      </c>
      <c r="N35" s="6">
        <f t="shared" si="6"/>
        <v>0.20757420751950811</v>
      </c>
      <c r="O35" s="6"/>
      <c r="P35" s="95">
        <f t="shared" si="7"/>
        <v>0.48787103759754058</v>
      </c>
      <c r="R35" s="94">
        <f t="shared" si="8"/>
        <v>0.3</v>
      </c>
      <c r="T35" s="6">
        <f t="shared" si="9"/>
        <v>0.3</v>
      </c>
      <c r="U35" s="6">
        <f t="shared" si="10"/>
        <v>0.20757420751950811</v>
      </c>
      <c r="V35" s="6"/>
      <c r="W35" s="95">
        <f t="shared" si="11"/>
        <v>0.48787103759754058</v>
      </c>
      <c r="X35" s="6"/>
      <c r="Y35" s="57">
        <v>35</v>
      </c>
      <c r="Z35" s="112">
        <f t="shared" si="12"/>
        <v>0.3</v>
      </c>
    </row>
    <row r="36" spans="2:26" x14ac:dyDescent="0.4">
      <c r="B36" s="10">
        <v>32.5</v>
      </c>
      <c r="C36" s="6">
        <f t="shared" si="13"/>
        <v>0.67350724615710922</v>
      </c>
      <c r="D36" s="6">
        <f t="shared" si="0"/>
        <v>673.50724615710919</v>
      </c>
      <c r="F36" s="94">
        <f t="shared" si="1"/>
        <v>0.3</v>
      </c>
      <c r="H36" s="6">
        <f t="shared" si="2"/>
        <v>0.3</v>
      </c>
      <c r="I36" s="95">
        <f t="shared" si="3"/>
        <v>0.20969530040562412</v>
      </c>
      <c r="K36" s="94">
        <f t="shared" si="4"/>
        <v>0.35</v>
      </c>
      <c r="M36" s="6">
        <f t="shared" si="5"/>
        <v>0.35</v>
      </c>
      <c r="N36" s="6">
        <f t="shared" si="6"/>
        <v>0.20969530040562412</v>
      </c>
      <c r="O36" s="6"/>
      <c r="P36" s="95">
        <f t="shared" si="7"/>
        <v>0.49847650202812066</v>
      </c>
      <c r="R36" s="94">
        <f t="shared" si="8"/>
        <v>0.3</v>
      </c>
      <c r="T36" s="6">
        <f t="shared" si="9"/>
        <v>0.3</v>
      </c>
      <c r="U36" s="6">
        <f t="shared" si="10"/>
        <v>0.20969530040562412</v>
      </c>
      <c r="V36" s="6"/>
      <c r="W36" s="95">
        <f t="shared" si="11"/>
        <v>0.49847650202812066</v>
      </c>
      <c r="X36" s="6"/>
      <c r="Y36" s="57">
        <v>32.5</v>
      </c>
      <c r="Z36" s="112">
        <f t="shared" si="12"/>
        <v>0.3</v>
      </c>
    </row>
    <row r="37" spans="2:26" x14ac:dyDescent="0.4">
      <c r="B37" s="10">
        <v>30</v>
      </c>
      <c r="C37" s="6">
        <f t="shared" si="13"/>
        <v>0.6216989964527162</v>
      </c>
      <c r="D37" s="6">
        <f t="shared" si="0"/>
        <v>621.69899645271619</v>
      </c>
      <c r="F37" s="94">
        <f t="shared" si="1"/>
        <v>0.3</v>
      </c>
      <c r="H37" s="6">
        <f t="shared" si="2"/>
        <v>0.3</v>
      </c>
      <c r="I37" s="95">
        <f t="shared" si="3"/>
        <v>0.21216990877275949</v>
      </c>
      <c r="K37" s="94">
        <f t="shared" si="4"/>
        <v>0.35</v>
      </c>
      <c r="M37" s="6">
        <f t="shared" si="5"/>
        <v>0.35</v>
      </c>
      <c r="N37" s="6">
        <f t="shared" si="6"/>
        <v>0.21216990877275949</v>
      </c>
      <c r="O37" s="6"/>
      <c r="P37" s="95">
        <f t="shared" si="7"/>
        <v>0.51084954386379744</v>
      </c>
      <c r="R37" s="94">
        <f t="shared" si="8"/>
        <v>0.3</v>
      </c>
      <c r="T37" s="6">
        <f t="shared" si="9"/>
        <v>0.3</v>
      </c>
      <c r="U37" s="6">
        <f t="shared" si="10"/>
        <v>0.21216990877275949</v>
      </c>
      <c r="V37" s="6"/>
      <c r="W37" s="95">
        <f t="shared" si="11"/>
        <v>0.51084954386379744</v>
      </c>
      <c r="X37" s="6"/>
      <c r="Y37" s="57">
        <v>30</v>
      </c>
      <c r="Z37" s="112">
        <f t="shared" si="12"/>
        <v>0.3</v>
      </c>
    </row>
    <row r="38" spans="2:26" x14ac:dyDescent="0.4">
      <c r="B38" s="10">
        <v>27.5</v>
      </c>
      <c r="C38" s="6">
        <f t="shared" si="13"/>
        <v>0.56989074674832318</v>
      </c>
      <c r="D38" s="6">
        <f t="shared" si="0"/>
        <v>569.89074674832318</v>
      </c>
      <c r="F38" s="94">
        <f t="shared" si="1"/>
        <v>0.3</v>
      </c>
      <c r="H38" s="6">
        <f t="shared" si="2"/>
        <v>0.3</v>
      </c>
      <c r="I38" s="95">
        <f t="shared" si="3"/>
        <v>0.21509444593391944</v>
      </c>
      <c r="K38" s="94">
        <f t="shared" si="4"/>
        <v>0.35</v>
      </c>
      <c r="M38" s="6">
        <f t="shared" si="5"/>
        <v>0.35</v>
      </c>
      <c r="N38" s="6">
        <f t="shared" si="6"/>
        <v>0.21509444593391944</v>
      </c>
      <c r="O38" s="6"/>
      <c r="P38" s="95">
        <f t="shared" si="7"/>
        <v>0.52547222966959717</v>
      </c>
      <c r="R38" s="94">
        <f t="shared" si="8"/>
        <v>0.3</v>
      </c>
      <c r="T38" s="6">
        <f t="shared" si="9"/>
        <v>0.3</v>
      </c>
      <c r="U38" s="6">
        <f t="shared" si="10"/>
        <v>0.21509444593391944</v>
      </c>
      <c r="V38" s="6"/>
      <c r="W38" s="95">
        <f t="shared" si="11"/>
        <v>0.52547222966959717</v>
      </c>
      <c r="X38" s="6"/>
      <c r="Y38" s="57">
        <v>27.5</v>
      </c>
      <c r="Z38" s="112">
        <f t="shared" si="12"/>
        <v>0.3</v>
      </c>
    </row>
    <row r="39" spans="2:26" x14ac:dyDescent="0.4">
      <c r="B39" s="10">
        <v>25</v>
      </c>
      <c r="C39" s="6">
        <f t="shared" si="13"/>
        <v>0.51808249704393017</v>
      </c>
      <c r="D39" s="6">
        <f t="shared" si="0"/>
        <v>518.08249704393018</v>
      </c>
      <c r="F39" s="94">
        <f t="shared" si="1"/>
        <v>0.3</v>
      </c>
      <c r="H39" s="6">
        <f t="shared" si="2"/>
        <v>0.3</v>
      </c>
      <c r="I39" s="95">
        <f t="shared" si="3"/>
        <v>0.21860389052731138</v>
      </c>
      <c r="K39" s="94">
        <f t="shared" si="4"/>
        <v>0.35</v>
      </c>
      <c r="M39" s="6">
        <f t="shared" si="5"/>
        <v>0.35</v>
      </c>
      <c r="N39" s="6">
        <f t="shared" si="6"/>
        <v>0.21860389052731138</v>
      </c>
      <c r="O39" s="6"/>
      <c r="P39" s="95">
        <f t="shared" si="7"/>
        <v>0.54301945263655682</v>
      </c>
      <c r="R39" s="94">
        <f t="shared" si="8"/>
        <v>0.3</v>
      </c>
      <c r="T39" s="6">
        <f t="shared" si="9"/>
        <v>0.3</v>
      </c>
      <c r="U39" s="6">
        <f t="shared" si="10"/>
        <v>0.21860389052731138</v>
      </c>
      <c r="V39" s="6"/>
      <c r="W39" s="95">
        <f t="shared" si="11"/>
        <v>0.54301945263655682</v>
      </c>
      <c r="X39" s="6"/>
      <c r="Y39" s="57">
        <v>25</v>
      </c>
      <c r="Z39" s="112">
        <f t="shared" si="12"/>
        <v>0.3</v>
      </c>
    </row>
    <row r="40" spans="2:26" x14ac:dyDescent="0.4">
      <c r="B40" s="10">
        <v>22.5</v>
      </c>
      <c r="C40" s="6">
        <f t="shared" si="13"/>
        <v>0.46627424733953715</v>
      </c>
      <c r="D40" s="6">
        <f t="shared" si="0"/>
        <v>466.27424733953717</v>
      </c>
      <c r="F40" s="94">
        <f t="shared" si="1"/>
        <v>0.3</v>
      </c>
      <c r="H40" s="6">
        <f t="shared" si="2"/>
        <v>0.3</v>
      </c>
      <c r="I40" s="95">
        <f t="shared" si="3"/>
        <v>0.22289321169701265</v>
      </c>
      <c r="K40" s="94">
        <f t="shared" si="4"/>
        <v>0.35</v>
      </c>
      <c r="M40" s="6">
        <f t="shared" si="5"/>
        <v>0.35</v>
      </c>
      <c r="N40" s="6">
        <f t="shared" si="6"/>
        <v>0.22289321169701265</v>
      </c>
      <c r="O40" s="6"/>
      <c r="P40" s="95">
        <f t="shared" si="7"/>
        <v>0.56446605848506315</v>
      </c>
      <c r="R40" s="94">
        <f t="shared" si="8"/>
        <v>0.3</v>
      </c>
      <c r="T40" s="6">
        <f t="shared" si="9"/>
        <v>0.3</v>
      </c>
      <c r="U40" s="6">
        <f t="shared" si="10"/>
        <v>0.22289321169701265</v>
      </c>
      <c r="V40" s="6"/>
      <c r="W40" s="95">
        <f t="shared" si="11"/>
        <v>0.56446605848506315</v>
      </c>
      <c r="X40" s="6"/>
      <c r="Y40" s="57">
        <v>22.5</v>
      </c>
      <c r="Z40" s="112">
        <f t="shared" si="12"/>
        <v>0.3</v>
      </c>
    </row>
    <row r="41" spans="2:26" x14ac:dyDescent="0.4">
      <c r="B41" s="10">
        <v>20</v>
      </c>
      <c r="C41" s="6">
        <f t="shared" si="13"/>
        <v>0.41446599763514413</v>
      </c>
      <c r="D41" s="6">
        <f t="shared" si="0"/>
        <v>414.46599763514416</v>
      </c>
      <c r="F41" s="94">
        <f t="shared" si="1"/>
        <v>0.3</v>
      </c>
      <c r="H41" s="6">
        <f t="shared" si="2"/>
        <v>0.3</v>
      </c>
      <c r="I41" s="95">
        <f t="shared" si="3"/>
        <v>0.22825486315913923</v>
      </c>
      <c r="K41" s="94">
        <f t="shared" si="4"/>
        <v>0.35</v>
      </c>
      <c r="M41" s="6">
        <f t="shared" si="5"/>
        <v>0.35</v>
      </c>
      <c r="N41" s="6">
        <f t="shared" si="6"/>
        <v>0.22825486315913923</v>
      </c>
      <c r="O41" s="6"/>
      <c r="P41" s="95">
        <f t="shared" si="7"/>
        <v>0.59127431579569611</v>
      </c>
      <c r="R41" s="94">
        <f t="shared" si="8"/>
        <v>0.3</v>
      </c>
      <c r="T41" s="6">
        <f t="shared" si="9"/>
        <v>0.3</v>
      </c>
      <c r="U41" s="6">
        <f t="shared" si="10"/>
        <v>0.22825486315913923</v>
      </c>
      <c r="V41" s="6"/>
      <c r="W41" s="95">
        <f t="shared" si="11"/>
        <v>0.59127431579569611</v>
      </c>
      <c r="X41" s="6"/>
      <c r="Y41" s="57">
        <v>20</v>
      </c>
      <c r="Z41" s="112">
        <f t="shared" si="12"/>
        <v>0.3</v>
      </c>
    </row>
    <row r="42" spans="2:26" x14ac:dyDescent="0.4">
      <c r="B42" s="10">
        <v>17.5</v>
      </c>
      <c r="C42" s="6">
        <f t="shared" si="13"/>
        <v>0.36265774793075112</v>
      </c>
      <c r="D42" s="6">
        <f t="shared" si="0"/>
        <v>362.6577479307511</v>
      </c>
      <c r="F42" s="94">
        <f t="shared" si="1"/>
        <v>0.3</v>
      </c>
      <c r="H42" s="6">
        <f t="shared" si="2"/>
        <v>0.3</v>
      </c>
      <c r="I42" s="95">
        <f t="shared" si="3"/>
        <v>0.23514841503901623</v>
      </c>
      <c r="K42" s="94">
        <f t="shared" si="4"/>
        <v>0.35</v>
      </c>
      <c r="M42" s="6">
        <f t="shared" si="5"/>
        <v>0.35</v>
      </c>
      <c r="N42" s="6">
        <f t="shared" si="6"/>
        <v>0.23514841503901623</v>
      </c>
      <c r="O42" s="6"/>
      <c r="P42" s="95">
        <f t="shared" si="7"/>
        <v>0.62574207519508129</v>
      </c>
      <c r="R42" s="94">
        <f t="shared" si="8"/>
        <v>0.3</v>
      </c>
      <c r="T42" s="6">
        <f t="shared" si="9"/>
        <v>0.3</v>
      </c>
      <c r="U42" s="6">
        <f t="shared" si="10"/>
        <v>0.23514841503901623</v>
      </c>
      <c r="V42" s="6"/>
      <c r="W42" s="95">
        <f t="shared" si="11"/>
        <v>0.62574207519508129</v>
      </c>
      <c r="X42" s="6"/>
      <c r="Y42" s="57">
        <v>17.5</v>
      </c>
      <c r="Z42" s="112">
        <f t="shared" si="12"/>
        <v>0.3</v>
      </c>
    </row>
    <row r="43" spans="2:26" x14ac:dyDescent="0.4">
      <c r="B43" s="10">
        <v>15</v>
      </c>
      <c r="C43" s="6">
        <f t="shared" si="13"/>
        <v>0.3108494982263581</v>
      </c>
      <c r="D43" s="6">
        <f t="shared" si="0"/>
        <v>310.84949822635809</v>
      </c>
      <c r="F43" s="94">
        <f t="shared" si="1"/>
        <v>0.3</v>
      </c>
      <c r="H43" s="6">
        <f t="shared" si="2"/>
        <v>0.3</v>
      </c>
      <c r="I43" s="95">
        <f t="shared" si="3"/>
        <v>0.24433981754551898</v>
      </c>
      <c r="K43" s="94">
        <f t="shared" si="4"/>
        <v>0.35</v>
      </c>
      <c r="M43" s="6">
        <f t="shared" si="5"/>
        <v>0.35</v>
      </c>
      <c r="N43" s="6">
        <f t="shared" si="6"/>
        <v>0.24433981754551898</v>
      </c>
      <c r="O43" s="6"/>
      <c r="P43" s="95">
        <f t="shared" si="7"/>
        <v>0.67169908772759479</v>
      </c>
      <c r="R43" s="94">
        <f t="shared" si="8"/>
        <v>0.3</v>
      </c>
      <c r="T43" s="6">
        <f t="shared" si="9"/>
        <v>0.3</v>
      </c>
      <c r="U43" s="6">
        <f t="shared" si="10"/>
        <v>0.24433981754551898</v>
      </c>
      <c r="V43" s="6"/>
      <c r="W43" s="95">
        <f t="shared" si="11"/>
        <v>0.67169908772759479</v>
      </c>
      <c r="X43" s="6"/>
      <c r="Y43" s="57">
        <v>15</v>
      </c>
      <c r="Z43" s="112">
        <f t="shared" si="12"/>
        <v>0.3</v>
      </c>
    </row>
    <row r="44" spans="2:26" x14ac:dyDescent="0.4">
      <c r="B44" s="10">
        <v>12.5</v>
      </c>
      <c r="C44" s="6">
        <f t="shared" si="13"/>
        <v>0.25904124852196508</v>
      </c>
      <c r="D44" s="6">
        <f t="shared" si="0"/>
        <v>259.04124852196509</v>
      </c>
      <c r="F44" s="94">
        <f t="shared" si="1"/>
        <v>0.3860389052731138</v>
      </c>
      <c r="H44" s="6">
        <f t="shared" si="2"/>
        <v>0.3</v>
      </c>
      <c r="I44" s="95">
        <f t="shared" si="3"/>
        <v>0.25720778105462272</v>
      </c>
      <c r="K44" s="94">
        <f t="shared" si="4"/>
        <v>0.3860389052731138</v>
      </c>
      <c r="M44" s="6">
        <f t="shared" si="5"/>
        <v>0.35</v>
      </c>
      <c r="N44" s="6">
        <f t="shared" si="6"/>
        <v>0.25720778105462272</v>
      </c>
      <c r="O44" s="6"/>
      <c r="P44" s="95">
        <f t="shared" si="7"/>
        <v>0.77207781054622759</v>
      </c>
      <c r="R44" s="94">
        <f t="shared" si="8"/>
        <v>0.3860389052731138</v>
      </c>
      <c r="T44" s="6">
        <f t="shared" si="9"/>
        <v>0.3</v>
      </c>
      <c r="U44" s="6">
        <f t="shared" si="10"/>
        <v>0.25720778105462272</v>
      </c>
      <c r="V44" s="6"/>
      <c r="W44" s="95">
        <f t="shared" si="11"/>
        <v>0.77207781054622759</v>
      </c>
      <c r="X44" s="6"/>
      <c r="Y44" s="57">
        <v>12.5</v>
      </c>
      <c r="Z44" s="112">
        <f t="shared" si="12"/>
        <v>0.3</v>
      </c>
    </row>
    <row r="45" spans="2:26" x14ac:dyDescent="0.4">
      <c r="B45" s="10">
        <v>10</v>
      </c>
      <c r="C45" s="6">
        <f t="shared" si="13"/>
        <v>0.20723299881757207</v>
      </c>
      <c r="D45" s="6">
        <f t="shared" si="0"/>
        <v>207.23299881757208</v>
      </c>
      <c r="F45" s="94">
        <f t="shared" si="1"/>
        <v>0.48254863159139222</v>
      </c>
      <c r="H45" s="6">
        <f t="shared" si="2"/>
        <v>0.3</v>
      </c>
      <c r="I45" s="95">
        <f t="shared" si="3"/>
        <v>0.27650972631827841</v>
      </c>
      <c r="K45" s="94">
        <f t="shared" si="4"/>
        <v>0.48254863159139222</v>
      </c>
      <c r="M45" s="6">
        <f t="shared" si="5"/>
        <v>0.35</v>
      </c>
      <c r="N45" s="6">
        <f t="shared" si="6"/>
        <v>0.27650972631827841</v>
      </c>
      <c r="O45" s="6"/>
      <c r="P45" s="95">
        <f t="shared" si="7"/>
        <v>0.96509726318278444</v>
      </c>
      <c r="R45" s="94">
        <f t="shared" si="8"/>
        <v>0.48254863159139222</v>
      </c>
      <c r="T45" s="6">
        <f t="shared" si="9"/>
        <v>0.3</v>
      </c>
      <c r="U45" s="6">
        <f t="shared" si="10"/>
        <v>0.27650972631827841</v>
      </c>
      <c r="V45" s="6"/>
      <c r="W45" s="95">
        <f t="shared" si="11"/>
        <v>0.96509726318278444</v>
      </c>
      <c r="X45" s="6"/>
      <c r="Y45" s="57">
        <v>10</v>
      </c>
      <c r="Z45" s="112">
        <f t="shared" si="12"/>
        <v>0.3</v>
      </c>
    </row>
    <row r="46" spans="2:26" x14ac:dyDescent="0.4">
      <c r="B46" s="10">
        <v>9</v>
      </c>
      <c r="C46" s="6">
        <f t="shared" si="13"/>
        <v>0.18650969893581484</v>
      </c>
      <c r="D46" s="6">
        <f t="shared" si="0"/>
        <v>186.50969893581484</v>
      </c>
      <c r="F46" s="94">
        <f t="shared" si="1"/>
        <v>0.53616514621265798</v>
      </c>
      <c r="H46" s="6">
        <f t="shared" si="2"/>
        <v>0.3</v>
      </c>
      <c r="I46" s="95">
        <f t="shared" si="3"/>
        <v>0.28723302924253158</v>
      </c>
      <c r="K46" s="94">
        <f t="shared" si="4"/>
        <v>0.53616514621265798</v>
      </c>
      <c r="M46" s="6">
        <f t="shared" si="5"/>
        <v>0.35</v>
      </c>
      <c r="N46" s="6">
        <f t="shared" si="6"/>
        <v>0.28723302924253158</v>
      </c>
      <c r="O46" s="6"/>
      <c r="P46" s="95">
        <f t="shared" si="7"/>
        <v>1.072330292425316</v>
      </c>
      <c r="R46" s="94">
        <f t="shared" si="8"/>
        <v>0.53616514621265798</v>
      </c>
      <c r="T46" s="6">
        <f t="shared" si="9"/>
        <v>0.3</v>
      </c>
      <c r="U46" s="6">
        <f t="shared" si="10"/>
        <v>0.28723302924253158</v>
      </c>
      <c r="V46" s="6"/>
      <c r="W46" s="95">
        <f t="shared" si="11"/>
        <v>1.072330292425316</v>
      </c>
      <c r="X46" s="6"/>
      <c r="Y46" s="57">
        <v>9</v>
      </c>
      <c r="Z46" s="112">
        <f t="shared" si="12"/>
        <v>0.3</v>
      </c>
    </row>
    <row r="47" spans="2:26" x14ac:dyDescent="0.4">
      <c r="B47" s="10">
        <v>8</v>
      </c>
      <c r="C47" s="6">
        <f t="shared" si="13"/>
        <v>0.16578639905405765</v>
      </c>
      <c r="D47" s="6">
        <f t="shared" si="0"/>
        <v>165.78639905405765</v>
      </c>
      <c r="F47" s="94">
        <f t="shared" si="1"/>
        <v>0.60318578948924018</v>
      </c>
      <c r="H47" s="6">
        <f t="shared" si="2"/>
        <v>0.3</v>
      </c>
      <c r="I47" s="95">
        <f t="shared" si="3"/>
        <v>0.30063715789784806</v>
      </c>
      <c r="K47" s="94">
        <f t="shared" si="4"/>
        <v>0.60318578948924018</v>
      </c>
      <c r="M47" s="6">
        <f t="shared" si="5"/>
        <v>0.35</v>
      </c>
      <c r="N47" s="6">
        <f t="shared" si="6"/>
        <v>0.30063715789784806</v>
      </c>
      <c r="O47" s="6"/>
      <c r="P47" s="95">
        <f t="shared" si="7"/>
        <v>1.2063715789784804</v>
      </c>
      <c r="R47" s="94">
        <f t="shared" si="8"/>
        <v>0.60318578948924018</v>
      </c>
      <c r="T47" s="6">
        <f t="shared" si="9"/>
        <v>0.3</v>
      </c>
      <c r="U47" s="6">
        <f t="shared" si="10"/>
        <v>0.30063715789784806</v>
      </c>
      <c r="V47" s="6"/>
      <c r="W47" s="95">
        <f t="shared" si="11"/>
        <v>1.2063715789784804</v>
      </c>
      <c r="X47" s="6"/>
      <c r="Y47" s="57">
        <v>8</v>
      </c>
      <c r="Z47" s="112">
        <f t="shared" si="12"/>
        <v>0.3</v>
      </c>
    </row>
    <row r="48" spans="2:26" x14ac:dyDescent="0.4">
      <c r="B48" s="10">
        <v>7</v>
      </c>
      <c r="C48" s="6">
        <f t="shared" si="13"/>
        <v>0.14506309917230045</v>
      </c>
      <c r="D48" s="6">
        <f t="shared" si="0"/>
        <v>145.06309917230044</v>
      </c>
      <c r="F48" s="94">
        <f t="shared" si="1"/>
        <v>0.68935518798770323</v>
      </c>
      <c r="H48" s="6">
        <f t="shared" si="2"/>
        <v>0.34467759399385162</v>
      </c>
      <c r="I48" s="95">
        <f t="shared" si="3"/>
        <v>0.34467759399385162</v>
      </c>
      <c r="K48" s="94">
        <f t="shared" si="4"/>
        <v>0.68935518798770323</v>
      </c>
      <c r="M48" s="6">
        <f t="shared" si="5"/>
        <v>0.34467759399385162</v>
      </c>
      <c r="N48" s="6">
        <f t="shared" si="6"/>
        <v>0.34467759399385162</v>
      </c>
      <c r="O48" s="6"/>
      <c r="P48" s="95">
        <f t="shared" si="7"/>
        <v>1.3787103759754065</v>
      </c>
      <c r="R48" s="94">
        <f t="shared" si="8"/>
        <v>0.68935518798770323</v>
      </c>
      <c r="T48" s="6">
        <f t="shared" si="9"/>
        <v>0.34467759399385162</v>
      </c>
      <c r="U48" s="6">
        <f t="shared" si="10"/>
        <v>0.34467759399385162</v>
      </c>
      <c r="V48" s="6"/>
      <c r="W48" s="95">
        <f t="shared" si="11"/>
        <v>1.3787103759754065</v>
      </c>
      <c r="X48" s="6"/>
      <c r="Y48" s="57">
        <v>7</v>
      </c>
      <c r="Z48" s="112">
        <f t="shared" si="12"/>
        <v>0.34467759399385162</v>
      </c>
    </row>
    <row r="49" spans="2:26" x14ac:dyDescent="0.4">
      <c r="B49" s="10">
        <v>6</v>
      </c>
      <c r="C49" s="6">
        <f t="shared" si="13"/>
        <v>0.12433979929054323</v>
      </c>
      <c r="D49" s="6">
        <f t="shared" si="0"/>
        <v>124.33979929054323</v>
      </c>
      <c r="F49" s="94">
        <f t="shared" si="1"/>
        <v>0.80424771931898709</v>
      </c>
      <c r="H49" s="6">
        <f t="shared" si="2"/>
        <v>0.40212385965949354</v>
      </c>
      <c r="I49" s="95">
        <f t="shared" si="3"/>
        <v>0.40212385965949354</v>
      </c>
      <c r="K49" s="94">
        <f t="shared" si="4"/>
        <v>0.80424771931898709</v>
      </c>
      <c r="M49" s="6">
        <f t="shared" si="5"/>
        <v>0.40212385965949354</v>
      </c>
      <c r="N49" s="6">
        <f t="shared" si="6"/>
        <v>0.40212385965949354</v>
      </c>
      <c r="O49" s="6"/>
      <c r="P49" s="95">
        <f t="shared" si="7"/>
        <v>1.6084954386379742</v>
      </c>
      <c r="R49" s="94">
        <f t="shared" si="8"/>
        <v>0.80424771931898709</v>
      </c>
      <c r="T49" s="6">
        <f t="shared" si="9"/>
        <v>0.40212385965949354</v>
      </c>
      <c r="U49" s="6">
        <f t="shared" si="10"/>
        <v>0.40212385965949354</v>
      </c>
      <c r="V49" s="6"/>
      <c r="W49" s="95">
        <f t="shared" si="11"/>
        <v>1.6084954386379742</v>
      </c>
      <c r="X49" s="6"/>
      <c r="Y49" s="57">
        <v>6</v>
      </c>
      <c r="Z49" s="112">
        <f t="shared" si="12"/>
        <v>0.40212385965949354</v>
      </c>
    </row>
    <row r="50" spans="2:26" x14ac:dyDescent="0.4">
      <c r="B50" s="10">
        <v>5</v>
      </c>
      <c r="C50" s="6">
        <f t="shared" si="13"/>
        <v>0.10361649940878603</v>
      </c>
      <c r="D50" s="6">
        <f t="shared" si="0"/>
        <v>103.61649940878604</v>
      </c>
      <c r="F50" s="94">
        <f t="shared" si="1"/>
        <v>0.96509726318278444</v>
      </c>
      <c r="H50" s="6">
        <f t="shared" si="2"/>
        <v>0.48254863159139222</v>
      </c>
      <c r="I50" s="95">
        <f t="shared" si="3"/>
        <v>0.48254863159139222</v>
      </c>
      <c r="K50" s="94">
        <f t="shared" si="4"/>
        <v>0.96509726318278444</v>
      </c>
      <c r="M50" s="6">
        <f t="shared" si="5"/>
        <v>0.48254863159139222</v>
      </c>
      <c r="N50" s="6">
        <f t="shared" si="6"/>
        <v>0.48254863159139222</v>
      </c>
      <c r="O50" s="6"/>
      <c r="P50" s="95">
        <f t="shared" si="7"/>
        <v>1.9301945263655689</v>
      </c>
      <c r="R50" s="94">
        <f t="shared" si="8"/>
        <v>0.96509726318278444</v>
      </c>
      <c r="T50" s="6">
        <f t="shared" si="9"/>
        <v>0.48254863159139222</v>
      </c>
      <c r="U50" s="6">
        <f t="shared" si="10"/>
        <v>0.48254863159139222</v>
      </c>
      <c r="V50" s="6"/>
      <c r="W50" s="95">
        <f t="shared" si="11"/>
        <v>1.9301945263655689</v>
      </c>
      <c r="X50" s="6"/>
      <c r="Y50" s="57">
        <v>5</v>
      </c>
      <c r="Z50" s="112">
        <f t="shared" si="12"/>
        <v>0.48254863159139222</v>
      </c>
    </row>
    <row r="51" spans="2:26" x14ac:dyDescent="0.4">
      <c r="B51" s="10">
        <v>4</v>
      </c>
      <c r="C51" s="6">
        <f t="shared" si="13"/>
        <v>8.2893199527028824E-2</v>
      </c>
      <c r="D51" s="6">
        <f t="shared" si="0"/>
        <v>82.893199527028827</v>
      </c>
      <c r="F51" s="94">
        <f t="shared" si="1"/>
        <v>1.2063715789784804</v>
      </c>
      <c r="H51" s="6">
        <f t="shared" si="2"/>
        <v>0.60318578948924018</v>
      </c>
      <c r="I51" s="95">
        <f t="shared" si="3"/>
        <v>0.60318578948924018</v>
      </c>
      <c r="K51" s="94">
        <f t="shared" si="4"/>
        <v>1.2063715789784804</v>
      </c>
      <c r="M51" s="6">
        <f t="shared" si="5"/>
        <v>0.60318578948924018</v>
      </c>
      <c r="N51" s="6">
        <f t="shared" si="6"/>
        <v>0.60318578948924018</v>
      </c>
      <c r="O51" s="6"/>
      <c r="P51" s="95">
        <f t="shared" si="7"/>
        <v>2.4127431579569607</v>
      </c>
      <c r="R51" s="94">
        <f t="shared" si="8"/>
        <v>1.2063715789784804</v>
      </c>
      <c r="T51" s="6">
        <f t="shared" si="9"/>
        <v>0.60318578948924018</v>
      </c>
      <c r="U51" s="6">
        <f t="shared" si="10"/>
        <v>0.60318578948924018</v>
      </c>
      <c r="V51" s="6"/>
      <c r="W51" s="95">
        <f t="shared" si="11"/>
        <v>2.4127431579569607</v>
      </c>
      <c r="X51" s="6"/>
      <c r="Y51" s="57">
        <v>4</v>
      </c>
      <c r="Z51" s="112">
        <f t="shared" si="12"/>
        <v>0.60318578948924018</v>
      </c>
    </row>
    <row r="52" spans="2:26" x14ac:dyDescent="0.4">
      <c r="B52" s="10">
        <v>3</v>
      </c>
      <c r="C52" s="6">
        <f t="shared" si="13"/>
        <v>6.2169899645271615E-2</v>
      </c>
      <c r="D52" s="6">
        <f t="shared" si="0"/>
        <v>62.169899645271613</v>
      </c>
      <c r="F52" s="94">
        <f t="shared" si="1"/>
        <v>1.6084954386379742</v>
      </c>
      <c r="H52" s="6">
        <f t="shared" si="2"/>
        <v>0.80424771931898709</v>
      </c>
      <c r="I52" s="95">
        <f t="shared" si="3"/>
        <v>0.80424771931898709</v>
      </c>
      <c r="K52" s="94">
        <f t="shared" si="4"/>
        <v>1.6084954386379742</v>
      </c>
      <c r="M52" s="6">
        <f t="shared" si="5"/>
        <v>0.80424771931898709</v>
      </c>
      <c r="N52" s="6">
        <f t="shared" si="6"/>
        <v>0.80424771931898709</v>
      </c>
      <c r="O52" s="6"/>
      <c r="P52" s="95">
        <f t="shared" si="7"/>
        <v>3.2169908772759483</v>
      </c>
      <c r="R52" s="94">
        <f t="shared" si="8"/>
        <v>1.6084954386379742</v>
      </c>
      <c r="T52" s="6">
        <f t="shared" si="9"/>
        <v>0.80424771931898709</v>
      </c>
      <c r="U52" s="6">
        <f t="shared" si="10"/>
        <v>0.80424771931898709</v>
      </c>
      <c r="V52" s="6"/>
      <c r="W52" s="95">
        <f t="shared" si="11"/>
        <v>3.2169908772759483</v>
      </c>
      <c r="X52" s="6"/>
      <c r="Y52" s="57">
        <v>3</v>
      </c>
      <c r="Z52" s="112">
        <f t="shared" si="12"/>
        <v>0.80424771931898709</v>
      </c>
    </row>
    <row r="53" spans="2:26" x14ac:dyDescent="0.4">
      <c r="B53" s="10">
        <v>2</v>
      </c>
      <c r="C53" s="6">
        <f t="shared" si="13"/>
        <v>4.1446599763514412E-2</v>
      </c>
      <c r="D53" s="6">
        <f t="shared" si="0"/>
        <v>41.446599763514413</v>
      </c>
      <c r="F53" s="94">
        <f t="shared" si="1"/>
        <v>2.4127431579569607</v>
      </c>
      <c r="H53" s="6">
        <f t="shared" si="2"/>
        <v>1.2063715789784804</v>
      </c>
      <c r="I53" s="95">
        <f t="shared" si="3"/>
        <v>1.2063715789784804</v>
      </c>
      <c r="K53" s="94">
        <f t="shared" si="4"/>
        <v>2.4127431579569607</v>
      </c>
      <c r="M53" s="6">
        <f t="shared" si="5"/>
        <v>1.2063715789784804</v>
      </c>
      <c r="N53" s="6">
        <f t="shared" si="6"/>
        <v>1.2063715789784804</v>
      </c>
      <c r="O53" s="6"/>
      <c r="P53" s="95">
        <f t="shared" si="7"/>
        <v>4.8254863159139214</v>
      </c>
      <c r="R53" s="94">
        <f t="shared" si="8"/>
        <v>2.4127431579569607</v>
      </c>
      <c r="T53" s="6">
        <f t="shared" si="9"/>
        <v>1.2063715789784804</v>
      </c>
      <c r="U53" s="6">
        <f t="shared" si="10"/>
        <v>1.2063715789784804</v>
      </c>
      <c r="V53" s="6"/>
      <c r="W53" s="95">
        <f t="shared" si="11"/>
        <v>4.8254863159139214</v>
      </c>
      <c r="X53" s="6"/>
      <c r="Y53" s="57">
        <v>2</v>
      </c>
      <c r="Z53" s="112">
        <f t="shared" si="12"/>
        <v>1.2063715789784804</v>
      </c>
    </row>
    <row r="54" spans="2:26" ht="14.25" thickBot="1" x14ac:dyDescent="0.45">
      <c r="B54" s="10">
        <v>1</v>
      </c>
      <c r="C54" s="6">
        <f t="shared" si="13"/>
        <v>2.0723299881757206E-2</v>
      </c>
      <c r="D54" s="6">
        <f t="shared" si="0"/>
        <v>20.723299881757207</v>
      </c>
      <c r="F54" s="96">
        <f t="shared" si="1"/>
        <v>4.8254863159139214</v>
      </c>
      <c r="G54" s="26"/>
      <c r="H54" s="97">
        <f t="shared" si="2"/>
        <v>2.4127431579569607</v>
      </c>
      <c r="I54" s="98">
        <f t="shared" si="3"/>
        <v>2.4127431579569607</v>
      </c>
      <c r="K54" s="96">
        <f t="shared" si="4"/>
        <v>4.8254863159139214</v>
      </c>
      <c r="L54" s="26"/>
      <c r="M54" s="97">
        <f t="shared" si="5"/>
        <v>2.4127431579569607</v>
      </c>
      <c r="N54" s="97">
        <f t="shared" si="6"/>
        <v>2.4127431579569607</v>
      </c>
      <c r="O54" s="97"/>
      <c r="P54" s="98">
        <f t="shared" si="7"/>
        <v>9.6509726318278428</v>
      </c>
      <c r="R54" s="96">
        <f t="shared" si="8"/>
        <v>4.8254863159139214</v>
      </c>
      <c r="S54" s="26"/>
      <c r="T54" s="97">
        <f t="shared" si="9"/>
        <v>2.4127431579569607</v>
      </c>
      <c r="U54" s="97">
        <f t="shared" si="10"/>
        <v>2.4127431579569607</v>
      </c>
      <c r="V54" s="97"/>
      <c r="W54" s="98">
        <f t="shared" si="11"/>
        <v>9.6509726318278428</v>
      </c>
      <c r="X54" s="97"/>
      <c r="Y54" s="58">
        <v>1</v>
      </c>
      <c r="Z54" s="113">
        <f t="shared" si="12"/>
        <v>2.4127431579569607</v>
      </c>
    </row>
  </sheetData>
  <sheetProtection password="C795" sheet="1" objects="1" scenarios="1" selectLockedCells="1" selectUnlockedCells="1"/>
  <mergeCells count="3">
    <mergeCell ref="M2:N2"/>
    <mergeCell ref="H2:I2"/>
    <mergeCell ref="T2:U2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Type xmlns="15810185-2AD0-43C9-A248-EBAA9F73E84F">Technical Information</Document_x0020_Typ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018115D02AC943A248EBAA9F73E84F" ma:contentTypeVersion="0" ma:contentTypeDescription="Create a new document." ma:contentTypeScope="" ma:versionID="461e7ed08bb730855f46b1a05e7f1df0">
  <xsd:schema xmlns:xsd="http://www.w3.org/2001/XMLSchema" xmlns:p="http://schemas.microsoft.com/office/2006/metadata/properties" xmlns:ns2="15810185-2AD0-43C9-A248-EBAA9F73E84F" targetNamespace="http://schemas.microsoft.com/office/2006/metadata/properties" ma:root="true" ma:fieldsID="e8979fc1b06a4acfe79e58f119f4e4fb" ns2:_="">
    <xsd:import namespace="15810185-2AD0-43C9-A248-EBAA9F73E84F"/>
    <xsd:element name="properties">
      <xsd:complexType>
        <xsd:sequence>
          <xsd:element name="documentManagement">
            <xsd:complexType>
              <xsd:all>
                <xsd:element ref="ns2:Document_x0020_Typ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15810185-2AD0-43C9-A248-EBAA9F73E84F" elementFormDefault="qualified">
    <xsd:import namespace="http://schemas.microsoft.com/office/2006/documentManagement/types"/>
    <xsd:element name="Document_x0020_Type" ma:index="8" nillable="true" ma:displayName="Category" ma:format="Dropdown" ma:internalName="Document_x0020_Type">
      <xsd:simpleType>
        <xsd:restriction base="dms:Choice">
          <xsd:enumeration value="GS Sheet"/>
          <xsd:enumeration value="Instruction Manual"/>
          <xsd:enumeration value="Service Notes"/>
          <xsd:enumeration value="Misc"/>
          <xsd:enumeration value="Bulletin"/>
          <xsd:enumeration value="Technical Information"/>
          <xsd:enumeration value="CMPL"/>
          <xsd:enumeration value="Standard Drawings"/>
          <xsd:enumeration value="QIC"/>
          <xsd:enumeration value="QIS"/>
          <xsd:enumeration value="Image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7EB5BC1F-AFD0-458E-AACA-CB9E23E8B4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8F521A-EF4A-47AB-8B31-E82528146F6C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E70A322E-381D-4B38-8D21-300A59337266}">
  <ds:schemaRefs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metadata/properties"/>
    <ds:schemaRef ds:uri="15810185-2AD0-43C9-A248-EBAA9F73E84F"/>
    <ds:schemaRef ds:uri="http://www.w3.org/XML/1998/namespace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AD1BE345-4746-429B-84E1-A9BEC7AEA5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810185-2AD0-43C9-A248-EBAA9F73E84F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Data entry</vt:lpstr>
      <vt:lpstr>Sheet1</vt:lpstr>
      <vt:lpstr>AXG Accuracy Estimation</vt:lpstr>
      <vt:lpstr>AXG Calculator</vt:lpstr>
      <vt:lpstr>'AXG Accuracy Estimation'!Print_Area</vt:lpstr>
      <vt:lpstr>size</vt:lpstr>
    </vt:vector>
  </TitlesOfParts>
  <Company>Yokogawa Australia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AXF Accuracy Rev 2</dc:title>
  <dc:creator>Simon Lillie</dc:creator>
  <cp:lastModifiedBy>Lenovo</cp:lastModifiedBy>
  <cp:lastPrinted>2023-07-26T02:54:32Z</cp:lastPrinted>
  <dcterms:created xsi:type="dcterms:W3CDTF">2002-10-24T23:50:17Z</dcterms:created>
  <dcterms:modified xsi:type="dcterms:W3CDTF">2023-08-30T12:24:51Z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