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u.ykgw.net\share\PCI Sales\Dept\Common\Product Marketing\Flow\Magmeter\ADMAG TI\Accuracy Estimators\"/>
    </mc:Choice>
  </mc:AlternateContent>
  <xr:revisionPtr revIDLastSave="0" documentId="13_ncr:1_{5FBA9669-6323-4D04-8D22-AF332C728637}" xr6:coauthVersionLast="37" xr6:coauthVersionMax="37" xr10:uidLastSave="{00000000-0000-0000-0000-000000000000}"/>
  <bookViews>
    <workbookView xWindow="0" yWindow="105" windowWidth="15225" windowHeight="8835" xr2:uid="{00000000-000D-0000-FFFF-FFFF00000000}"/>
  </bookViews>
  <sheets>
    <sheet name="Data entry" sheetId="1" r:id="rId1"/>
    <sheet name="AXW Accuracy Estimation" sheetId="11" r:id="rId2"/>
    <sheet name="AXW Calculator" sheetId="7" r:id="rId3"/>
  </sheets>
  <definedNames>
    <definedName name="_xlnm.Print_Area" localSheetId="1">'AXW Accuracy Estimation'!$A$1:$I$51</definedName>
    <definedName name="size">'Data entry'!$B$11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0" i="1" l="1"/>
  <c r="D8" i="1" l="1"/>
  <c r="D9" i="1" l="1"/>
  <c r="D43" i="1" l="1"/>
  <c r="E43" i="1" s="1"/>
  <c r="D41" i="1"/>
  <c r="E41" i="1" s="1"/>
  <c r="K43" i="1" l="1"/>
  <c r="F43" i="1"/>
  <c r="H43" i="1"/>
  <c r="G43" i="1"/>
  <c r="J43" i="1"/>
  <c r="I43" i="1"/>
  <c r="H41" i="1"/>
  <c r="G41" i="1"/>
  <c r="J41" i="1"/>
  <c r="F41" i="1"/>
  <c r="K41" i="1"/>
  <c r="I41" i="1"/>
  <c r="A81" i="1"/>
  <c r="D5" i="7" l="1"/>
  <c r="C5" i="7"/>
  <c r="C10" i="11"/>
  <c r="C11" i="11"/>
  <c r="C21" i="1" l="1"/>
  <c r="D21" i="1" s="1"/>
  <c r="K21" i="1" s="1"/>
  <c r="C22" i="1"/>
  <c r="D22" i="1" s="1"/>
  <c r="C23" i="1"/>
  <c r="D23" i="1" s="1"/>
  <c r="C24" i="1"/>
  <c r="D24" i="1" s="1"/>
  <c r="C25" i="1"/>
  <c r="D25" i="1" s="1"/>
  <c r="J25" i="1" s="1"/>
  <c r="C26" i="1"/>
  <c r="D26" i="1" s="1"/>
  <c r="C27" i="1"/>
  <c r="D27" i="1" s="1"/>
  <c r="C28" i="1"/>
  <c r="D28" i="1" s="1"/>
  <c r="C29" i="1"/>
  <c r="D29" i="1" s="1"/>
  <c r="F29" i="1" s="1"/>
  <c r="C30" i="1"/>
  <c r="D30" i="1" s="1"/>
  <c r="C31" i="1"/>
  <c r="D31" i="1" s="1"/>
  <c r="C32" i="1"/>
  <c r="D32" i="1" s="1"/>
  <c r="C33" i="1"/>
  <c r="D33" i="1" s="1"/>
  <c r="J33" i="1" s="1"/>
  <c r="C20" i="1"/>
  <c r="D20" i="1" s="1"/>
  <c r="K20" i="1" s="1"/>
  <c r="K32" i="1" l="1"/>
  <c r="I32" i="1"/>
  <c r="G32" i="1"/>
  <c r="E32" i="1"/>
  <c r="J32" i="1"/>
  <c r="F32" i="1"/>
  <c r="H32" i="1"/>
  <c r="K28" i="1"/>
  <c r="I28" i="1"/>
  <c r="G28" i="1"/>
  <c r="E28" i="1"/>
  <c r="H28" i="1"/>
  <c r="J28" i="1"/>
  <c r="F28" i="1"/>
  <c r="K27" i="1"/>
  <c r="J27" i="1"/>
  <c r="H27" i="1"/>
  <c r="F27" i="1"/>
  <c r="I27" i="1"/>
  <c r="G27" i="1"/>
  <c r="E27" i="1"/>
  <c r="I23" i="1"/>
  <c r="E23" i="1"/>
  <c r="J23" i="1"/>
  <c r="H23" i="1"/>
  <c r="B14" i="1" s="1"/>
  <c r="F23" i="1"/>
  <c r="K23" i="1"/>
  <c r="G23" i="1"/>
  <c r="J30" i="1"/>
  <c r="H30" i="1"/>
  <c r="F30" i="1"/>
  <c r="K30" i="1"/>
  <c r="G30" i="1"/>
  <c r="I30" i="1"/>
  <c r="E30" i="1"/>
  <c r="J26" i="1"/>
  <c r="H26" i="1"/>
  <c r="F26" i="1"/>
  <c r="K26" i="1"/>
  <c r="I26" i="1"/>
  <c r="E26" i="1"/>
  <c r="G26" i="1"/>
  <c r="J22" i="1"/>
  <c r="H22" i="1"/>
  <c r="F22" i="1"/>
  <c r="G22" i="1"/>
  <c r="K22" i="1"/>
  <c r="I22" i="1"/>
  <c r="E22" i="1"/>
  <c r="K31" i="1"/>
  <c r="I31" i="1"/>
  <c r="G31" i="1"/>
  <c r="E31" i="1"/>
  <c r="J31" i="1"/>
  <c r="H31" i="1"/>
  <c r="F31" i="1"/>
  <c r="K24" i="1"/>
  <c r="I24" i="1"/>
  <c r="G24" i="1"/>
  <c r="E24" i="1"/>
  <c r="J24" i="1"/>
  <c r="F24" i="1"/>
  <c r="H24" i="1"/>
  <c r="F33" i="1"/>
  <c r="F21" i="1"/>
  <c r="H29" i="1"/>
  <c r="H21" i="1"/>
  <c r="J29" i="1"/>
  <c r="J21" i="1"/>
  <c r="F20" i="1"/>
  <c r="J20" i="1"/>
  <c r="E33" i="1"/>
  <c r="E29" i="1"/>
  <c r="E25" i="1"/>
  <c r="E21" i="1"/>
  <c r="G33" i="1"/>
  <c r="G29" i="1"/>
  <c r="G25" i="1"/>
  <c r="G21" i="1"/>
  <c r="I33" i="1"/>
  <c r="I29" i="1"/>
  <c r="I25" i="1"/>
  <c r="I21" i="1"/>
  <c r="K33" i="1"/>
  <c r="K29" i="1"/>
  <c r="K25" i="1"/>
  <c r="F25" i="1"/>
  <c r="H33" i="1"/>
  <c r="H25" i="1"/>
  <c r="H20" i="1"/>
  <c r="E20" i="1"/>
  <c r="G20" i="1"/>
  <c r="I20" i="1"/>
  <c r="B6" i="1"/>
  <c r="C7" i="11" s="1"/>
  <c r="D44" i="1"/>
  <c r="F44" i="1" s="1"/>
  <c r="D42" i="1"/>
  <c r="J42" i="1" s="1"/>
  <c r="D40" i="1"/>
  <c r="J40" i="1" s="1"/>
  <c r="D39" i="1"/>
  <c r="K39" i="1" s="1"/>
  <c r="B16" i="1"/>
  <c r="E11" i="1"/>
  <c r="C3" i="7"/>
  <c r="D45" i="1"/>
  <c r="K45" i="1" s="1"/>
  <c r="C9" i="11"/>
  <c r="D38" i="1"/>
  <c r="H38" i="1" s="1"/>
  <c r="D37" i="1"/>
  <c r="E37" i="1" s="1"/>
  <c r="D36" i="1"/>
  <c r="H36" i="1" s="1"/>
  <c r="D35" i="1"/>
  <c r="F35" i="1" s="1"/>
  <c r="D34" i="1"/>
  <c r="K34" i="1" s="1"/>
  <c r="C5" i="11"/>
  <c r="I6" i="11"/>
  <c r="C14" i="11"/>
  <c r="G10" i="11" s="1"/>
  <c r="C12" i="11"/>
  <c r="C8" i="11"/>
  <c r="C4" i="11"/>
  <c r="E35" i="1"/>
  <c r="H40" i="1"/>
  <c r="G39" i="1" l="1"/>
  <c r="J38" i="1"/>
  <c r="I42" i="1"/>
  <c r="E34" i="1"/>
  <c r="J39" i="1"/>
  <c r="E38" i="1"/>
  <c r="F37" i="1"/>
  <c r="G35" i="1"/>
  <c r="J35" i="1"/>
  <c r="E42" i="1"/>
  <c r="G42" i="1"/>
  <c r="I37" i="1"/>
  <c r="H42" i="1"/>
  <c r="K42" i="1"/>
  <c r="F42" i="1"/>
  <c r="J6" i="7"/>
  <c r="H6" i="7"/>
  <c r="F6" i="7"/>
  <c r="F34" i="1"/>
  <c r="I38" i="1"/>
  <c r="E44" i="1"/>
  <c r="E39" i="1"/>
  <c r="I35" i="1"/>
  <c r="K35" i="1"/>
  <c r="J37" i="1"/>
  <c r="H35" i="1"/>
  <c r="G44" i="1"/>
  <c r="I39" i="1"/>
  <c r="F39" i="1"/>
  <c r="E45" i="1"/>
  <c r="G34" i="1"/>
  <c r="K37" i="1"/>
  <c r="I36" i="1"/>
  <c r="I34" i="1"/>
  <c r="F38" i="1"/>
  <c r="H39" i="1"/>
  <c r="G37" i="1"/>
  <c r="H37" i="1"/>
  <c r="H34" i="1"/>
  <c r="J34" i="1"/>
  <c r="F36" i="1"/>
  <c r="G40" i="1"/>
  <c r="I40" i="1"/>
  <c r="G36" i="1"/>
  <c r="G45" i="1"/>
  <c r="E40" i="1"/>
  <c r="E36" i="1"/>
  <c r="J36" i="1"/>
  <c r="J45" i="1"/>
  <c r="K36" i="1"/>
  <c r="F40" i="1"/>
  <c r="K38" i="1"/>
  <c r="G38" i="1"/>
  <c r="I45" i="1"/>
  <c r="K40" i="1"/>
  <c r="F45" i="1"/>
  <c r="H45" i="1"/>
  <c r="D16" i="11"/>
  <c r="J44" i="1"/>
  <c r="K44" i="1"/>
  <c r="H44" i="1"/>
  <c r="I44" i="1"/>
  <c r="D24" i="11"/>
  <c r="C14" i="1" l="1"/>
  <c r="B15" i="1"/>
  <c r="B17" i="1" s="1"/>
  <c r="D5" i="1" s="1"/>
  <c r="C2" i="7" s="1"/>
  <c r="C24" i="11" l="1"/>
  <c r="C16" i="11"/>
  <c r="G11" i="11" s="1"/>
  <c r="C20" i="11"/>
  <c r="G19" i="11" l="1"/>
  <c r="G14" i="11"/>
  <c r="G18" i="11"/>
  <c r="G12" i="11"/>
  <c r="G17" i="11"/>
  <c r="G15" i="11"/>
  <c r="G16" i="11"/>
  <c r="G13" i="11"/>
  <c r="G21" i="11"/>
  <c r="G20" i="11"/>
  <c r="C12" i="7"/>
  <c r="C24" i="7"/>
  <c r="C20" i="7"/>
  <c r="C43" i="7"/>
  <c r="C29" i="7"/>
  <c r="C47" i="7"/>
  <c r="C13" i="7"/>
  <c r="C48" i="7"/>
  <c r="C15" i="7"/>
  <c r="C26" i="7"/>
  <c r="C32" i="7"/>
  <c r="C31" i="7"/>
  <c r="C22" i="7"/>
  <c r="C50" i="7"/>
  <c r="C45" i="7"/>
  <c r="C40" i="7"/>
  <c r="C21" i="7"/>
  <c r="C19" i="7"/>
  <c r="C16" i="7"/>
  <c r="C30" i="7"/>
  <c r="C52" i="7"/>
  <c r="C42" i="7"/>
  <c r="C11" i="7"/>
  <c r="C18" i="7"/>
  <c r="C27" i="7"/>
  <c r="C51" i="7"/>
  <c r="C25" i="7"/>
  <c r="C46" i="7"/>
  <c r="C44" i="7"/>
  <c r="C39" i="7"/>
  <c r="C49" i="7"/>
  <c r="C54" i="7"/>
  <c r="C36" i="7"/>
  <c r="C38" i="7"/>
  <c r="C35" i="7"/>
  <c r="C14" i="7"/>
  <c r="C41" i="7"/>
  <c r="C33" i="7"/>
  <c r="C23" i="7"/>
  <c r="C17" i="7"/>
  <c r="C28" i="7"/>
  <c r="C9" i="7"/>
  <c r="C10" i="7"/>
  <c r="C34" i="7"/>
  <c r="C37" i="7"/>
  <c r="C53" i="7"/>
  <c r="D33" i="7" l="1"/>
  <c r="J33" i="7" s="1"/>
  <c r="D51" i="7"/>
  <c r="H51" i="7" s="1"/>
  <c r="D50" i="7"/>
  <c r="F50" i="7" s="1"/>
  <c r="D24" i="7"/>
  <c r="H24" i="7" s="1"/>
  <c r="D36" i="7"/>
  <c r="H36" i="7" s="1"/>
  <c r="D52" i="7"/>
  <c r="H52" i="7" s="1"/>
  <c r="D21" i="7"/>
  <c r="J21" i="7" s="1"/>
  <c r="D22" i="7"/>
  <c r="F22" i="7" s="1"/>
  <c r="D15" i="7"/>
  <c r="H15" i="7" s="1"/>
  <c r="D29" i="7"/>
  <c r="J29" i="7" s="1"/>
  <c r="D12" i="7"/>
  <c r="H12" i="7" s="1"/>
  <c r="D53" i="7"/>
  <c r="J53" i="7" s="1"/>
  <c r="D39" i="7"/>
  <c r="H39" i="7" s="1"/>
  <c r="D19" i="7"/>
  <c r="H19" i="7" s="1"/>
  <c r="D47" i="7"/>
  <c r="H47" i="7" s="1"/>
  <c r="D37" i="7"/>
  <c r="J37" i="7" s="1"/>
  <c r="D41" i="7"/>
  <c r="J41" i="7" s="1"/>
  <c r="D27" i="7"/>
  <c r="H27" i="7" s="1"/>
  <c r="D34" i="7"/>
  <c r="F34" i="7" s="1"/>
  <c r="D17" i="7"/>
  <c r="J17" i="7" s="1"/>
  <c r="D14" i="7"/>
  <c r="J14" i="7" s="1"/>
  <c r="D54" i="7"/>
  <c r="F54" i="7" s="1"/>
  <c r="D46" i="7"/>
  <c r="J46" i="7" s="1"/>
  <c r="D18" i="7"/>
  <c r="J18" i="7" s="1"/>
  <c r="D30" i="7"/>
  <c r="J30" i="7" s="1"/>
  <c r="D40" i="7"/>
  <c r="H40" i="7" s="1"/>
  <c r="D31" i="7"/>
  <c r="H31" i="7" s="1"/>
  <c r="D48" i="7"/>
  <c r="H48" i="7" s="1"/>
  <c r="D43" i="7"/>
  <c r="H43" i="7" s="1"/>
  <c r="D9" i="7"/>
  <c r="H9" i="7" s="1"/>
  <c r="D38" i="7"/>
  <c r="J38" i="7" s="1"/>
  <c r="D42" i="7"/>
  <c r="J42" i="7" s="1"/>
  <c r="D26" i="7"/>
  <c r="J26" i="7" s="1"/>
  <c r="D28" i="7"/>
  <c r="H28" i="7" s="1"/>
  <c r="D44" i="7"/>
  <c r="H44" i="7" s="1"/>
  <c r="D10" i="7"/>
  <c r="J10" i="7" s="1"/>
  <c r="D23" i="7"/>
  <c r="H23" i="7" s="1"/>
  <c r="D35" i="7"/>
  <c r="H35" i="7" s="1"/>
  <c r="D49" i="7"/>
  <c r="J49" i="7" s="1"/>
  <c r="D25" i="7"/>
  <c r="J25" i="7" s="1"/>
  <c r="D11" i="7"/>
  <c r="H11" i="7" s="1"/>
  <c r="D16" i="7"/>
  <c r="H16" i="7" s="1"/>
  <c r="D45" i="7"/>
  <c r="J45" i="7" s="1"/>
  <c r="D32" i="7"/>
  <c r="H32" i="7" s="1"/>
  <c r="D13" i="7"/>
  <c r="J13" i="7" s="1"/>
  <c r="D20" i="7"/>
  <c r="H20" i="7" s="1"/>
  <c r="F24" i="7" l="1"/>
  <c r="F51" i="7"/>
  <c r="J50" i="7"/>
  <c r="M50" i="7" s="1"/>
  <c r="I21" i="11" s="1"/>
  <c r="H33" i="7"/>
  <c r="F20" i="7"/>
  <c r="F9" i="7"/>
  <c r="F16" i="7"/>
  <c r="F17" i="7"/>
  <c r="M17" i="7" s="1"/>
  <c r="I13" i="11" s="1"/>
  <c r="F40" i="7"/>
  <c r="F37" i="7"/>
  <c r="M37" i="7" s="1"/>
  <c r="I18" i="11" s="1"/>
  <c r="F35" i="7"/>
  <c r="F53" i="7"/>
  <c r="M53" i="7" s="1"/>
  <c r="F28" i="7"/>
  <c r="J22" i="7"/>
  <c r="M22" i="7" s="1"/>
  <c r="F32" i="7"/>
  <c r="F10" i="7"/>
  <c r="M10" i="7" s="1"/>
  <c r="F48" i="7"/>
  <c r="F19" i="7"/>
  <c r="J52" i="7"/>
  <c r="F25" i="7"/>
  <c r="M25" i="7" s="1"/>
  <c r="I15" i="11" s="1"/>
  <c r="F42" i="7"/>
  <c r="M42" i="7" s="1"/>
  <c r="F18" i="7"/>
  <c r="M18" i="7" s="1"/>
  <c r="F27" i="7"/>
  <c r="F29" i="7"/>
  <c r="M29" i="7" s="1"/>
  <c r="I16" i="11" s="1"/>
  <c r="F14" i="7"/>
  <c r="M14" i="7" s="1"/>
  <c r="J34" i="7"/>
  <c r="M34" i="7" s="1"/>
  <c r="H41" i="7"/>
  <c r="F47" i="7"/>
  <c r="F39" i="7"/>
  <c r="J12" i="7"/>
  <c r="F15" i="7"/>
  <c r="F21" i="7"/>
  <c r="M21" i="7" s="1"/>
  <c r="I14" i="11" s="1"/>
  <c r="J36" i="7"/>
  <c r="F13" i="7"/>
  <c r="M13" i="7" s="1"/>
  <c r="I12" i="11" s="1"/>
  <c r="F45" i="7"/>
  <c r="M45" i="7" s="1"/>
  <c r="I20" i="11" s="1"/>
  <c r="F11" i="7"/>
  <c r="F49" i="7"/>
  <c r="M49" i="7" s="1"/>
  <c r="F23" i="7"/>
  <c r="F44" i="7"/>
  <c r="F26" i="7"/>
  <c r="M26" i="7" s="1"/>
  <c r="F38" i="7"/>
  <c r="M38" i="7" s="1"/>
  <c r="F43" i="7"/>
  <c r="F31" i="7"/>
  <c r="F30" i="7"/>
  <c r="M30" i="7" s="1"/>
  <c r="F46" i="7"/>
  <c r="M46" i="7" s="1"/>
  <c r="H13" i="7"/>
  <c r="J32" i="7"/>
  <c r="H45" i="7"/>
  <c r="J16" i="7"/>
  <c r="J11" i="7"/>
  <c r="J35" i="7"/>
  <c r="J23" i="7"/>
  <c r="H10" i="7"/>
  <c r="H26" i="7"/>
  <c r="H42" i="7"/>
  <c r="H38" i="7"/>
  <c r="J9" i="7"/>
  <c r="J43" i="7"/>
  <c r="J48" i="7"/>
  <c r="J31" i="7"/>
  <c r="J40" i="7"/>
  <c r="H30" i="7"/>
  <c r="H18" i="7"/>
  <c r="H46" i="7"/>
  <c r="H54" i="7"/>
  <c r="H14" i="7"/>
  <c r="J20" i="7"/>
  <c r="H25" i="7"/>
  <c r="J44" i="7"/>
  <c r="J28" i="7"/>
  <c r="J54" i="7"/>
  <c r="M54" i="7" s="1"/>
  <c r="H49" i="7"/>
  <c r="H17" i="7"/>
  <c r="H34" i="7"/>
  <c r="J27" i="7"/>
  <c r="F41" i="7"/>
  <c r="M41" i="7" s="1"/>
  <c r="I19" i="11" s="1"/>
  <c r="H37" i="7"/>
  <c r="J47" i="7"/>
  <c r="J19" i="7"/>
  <c r="J39" i="7"/>
  <c r="H53" i="7"/>
  <c r="F12" i="7"/>
  <c r="M12" i="7" s="1"/>
  <c r="H29" i="7"/>
  <c r="J15" i="7"/>
  <c r="H22" i="7"/>
  <c r="H21" i="7"/>
  <c r="F52" i="7"/>
  <c r="M52" i="7" s="1"/>
  <c r="F36" i="7"/>
  <c r="J24" i="7"/>
  <c r="M24" i="7" s="1"/>
  <c r="H50" i="7"/>
  <c r="J51" i="7"/>
  <c r="F33" i="7"/>
  <c r="M33" i="7" s="1"/>
  <c r="I17" i="11" s="1"/>
  <c r="M39" i="7" l="1"/>
  <c r="M28" i="7"/>
  <c r="M31" i="7"/>
  <c r="M15" i="7"/>
  <c r="M40" i="7"/>
  <c r="M20" i="7"/>
  <c r="M36" i="7"/>
  <c r="M11" i="7"/>
  <c r="M47" i="7"/>
  <c r="M35" i="7"/>
  <c r="M44" i="7"/>
  <c r="M27" i="7"/>
  <c r="M32" i="7"/>
  <c r="M16" i="7"/>
  <c r="M43" i="7"/>
  <c r="M23" i="7"/>
  <c r="M19" i="7"/>
  <c r="M9" i="7"/>
  <c r="I11" i="11" s="1"/>
  <c r="M51" i="7"/>
  <c r="M4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Simon Lillie</author>
  </authors>
  <commentList>
    <comment ref="D8" authorId="0" shapeId="0" xr:uid="{00000000-0006-0000-0000-000001000000}">
      <text>
        <r>
          <rPr>
            <u/>
            <sz val="9"/>
            <color indexed="81"/>
            <rFont val="Tahoma"/>
            <family val="2"/>
          </rPr>
          <t xml:space="preserve">PTFE Liner: </t>
        </r>
        <r>
          <rPr>
            <sz val="9"/>
            <color indexed="81"/>
            <rFont val="Tahoma"/>
            <family val="2"/>
          </rPr>
          <t xml:space="preserve">
General Purpose: (25-1,000mm) 
Submersible: (500-1000mm)
Explosion Proof: (25-400mm)
</t>
        </r>
        <r>
          <rPr>
            <u/>
            <sz val="9"/>
            <color indexed="81"/>
            <rFont val="Tahoma"/>
            <family val="2"/>
          </rPr>
          <t>Explosion Proof: PTFE Only</t>
        </r>
      </text>
    </comment>
    <comment ref="D9" authorId="0" shapeId="0" xr:uid="{00000000-0006-0000-0000-000002000000}">
      <text>
        <r>
          <rPr>
            <sz val="9"/>
            <color indexed="81"/>
            <rFont val="Tahoma"/>
            <family val="2"/>
          </rPr>
          <t>PTFE Liner only for sizes &lt;=1000mm
Only Hard Rubber for sizes &gt;=1200mm, excpet 1350/1500mm which are Polyurethane Only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000-000003000000}">
      <text>
        <r>
          <rPr>
            <sz val="9"/>
            <color indexed="81"/>
            <rFont val="Tahoma"/>
            <family val="2"/>
          </rPr>
          <t>Use AXFA11G for sizes &gt;1000mm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Span Check:
</t>
        </r>
        <r>
          <rPr>
            <sz val="8"/>
            <color indexed="81"/>
            <rFont val="Tahoma"/>
            <family val="2"/>
          </rPr>
          <t>-Velocity &gt;=0.1m/sec (25-1000mm)
-Velocity &gt;=0.3m/sec (1200-1800mm)
-Velocity &lt;=10m/sec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<sst xmlns="http://schemas.openxmlformats.org/spreadsheetml/2006/main" count="182" uniqueCount="146">
  <si>
    <t>Area</t>
  </si>
  <si>
    <t>Size (mm)</t>
  </si>
  <si>
    <t>Vmax</t>
  </si>
  <si>
    <t>mm</t>
  </si>
  <si>
    <t>FLOWRATE</t>
  </si>
  <si>
    <t>ACCURACY</t>
  </si>
  <si>
    <t>Zero</t>
  </si>
  <si>
    <t>m/sec</t>
  </si>
  <si>
    <t>l/sec</t>
  </si>
  <si>
    <t>l/min</t>
  </si>
  <si>
    <t>l/hr</t>
  </si>
  <si>
    <t>Tag Number</t>
  </si>
  <si>
    <t>Service</t>
  </si>
  <si>
    <t>% of Span</t>
  </si>
  <si>
    <t>MAXIMUM RANGE LIMITS</t>
  </si>
  <si>
    <t>Ml/day</t>
  </si>
  <si>
    <t>Flow</t>
  </si>
  <si>
    <t>ID</t>
  </si>
  <si>
    <r>
      <t>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/hr</t>
    </r>
  </si>
  <si>
    <r>
      <t>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/min</t>
    </r>
  </si>
  <si>
    <r>
      <t>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/sec</t>
    </r>
  </si>
  <si>
    <t>General Purpose</t>
  </si>
  <si>
    <t>Velocity (m/sec)</t>
  </si>
  <si>
    <t>Span Vs</t>
  </si>
  <si>
    <t>% of Rate</t>
  </si>
  <si>
    <t>Rate Units</t>
  </si>
  <si>
    <t>FLOWRATE RANGE</t>
  </si>
  <si>
    <t>VELOCITY RANGE</t>
  </si>
  <si>
    <t>VELOCITY MAX RANGE LIMITS</t>
  </si>
  <si>
    <t>Client:</t>
  </si>
  <si>
    <t>Model:</t>
  </si>
  <si>
    <t>Type:</t>
  </si>
  <si>
    <t>Size:</t>
  </si>
  <si>
    <r>
      <t>Tag N</t>
    </r>
    <r>
      <rPr>
        <vertAlign val="superscript"/>
        <sz val="11"/>
        <rFont val="Times New Roman"/>
        <family val="1"/>
      </rPr>
      <t>o</t>
    </r>
    <r>
      <rPr>
        <sz val="11"/>
        <rFont val="Times New Roman"/>
        <family val="1"/>
      </rPr>
      <t>:</t>
    </r>
  </si>
  <si>
    <t>Service:</t>
  </si>
  <si>
    <t>Client Name</t>
  </si>
  <si>
    <t>% of Range</t>
  </si>
  <si>
    <t>Range</t>
  </si>
  <si>
    <t>Submersible</t>
  </si>
  <si>
    <t>Polyurethane Rubber</t>
  </si>
  <si>
    <t>Span Check:</t>
  </si>
  <si>
    <t>Velocity (mm/sec)</t>
  </si>
  <si>
    <t>Liner:</t>
  </si>
  <si>
    <t>Max Flow (m3/Hr)</t>
  </si>
  <si>
    <t>Created By:</t>
  </si>
  <si>
    <t>Simon Lillie</t>
  </si>
  <si>
    <t>Yokogawa Australia Pty Ltd</t>
  </si>
  <si>
    <t>m3/hr</t>
  </si>
  <si>
    <t>AXW Data Entry</t>
  </si>
  <si>
    <t>PTFE</t>
  </si>
  <si>
    <t>Natural Hard Rubber</t>
  </si>
  <si>
    <t xml:space="preserve">YOKOGAWA AXW MAGNETIC FLOWMETER - ACCURACY STATEMENT </t>
  </si>
  <si>
    <t>AXW Model</t>
  </si>
  <si>
    <t>Natural Soft Rubber</t>
  </si>
  <si>
    <t>500-1000mm</t>
  </si>
  <si>
    <t>1100-1800mm</t>
  </si>
  <si>
    <t>June 2017</t>
  </si>
  <si>
    <t>ADMAG TI AXW Release</t>
  </si>
  <si>
    <t>AXW025-G</t>
  </si>
  <si>
    <t>AXW032-G</t>
  </si>
  <si>
    <t>AXW040-G</t>
  </si>
  <si>
    <t>AXW050-G</t>
  </si>
  <si>
    <t>AXW065-G</t>
  </si>
  <si>
    <t>AXW080-G</t>
  </si>
  <si>
    <t>AXW100-G</t>
  </si>
  <si>
    <t>AXW125-G</t>
  </si>
  <si>
    <t>AXW150-G</t>
  </si>
  <si>
    <t>AXW200-G</t>
  </si>
  <si>
    <t>AXW250-G</t>
  </si>
  <si>
    <t>AXW300-G</t>
  </si>
  <si>
    <t>AXW350-G</t>
  </si>
  <si>
    <t>AXW400-G</t>
  </si>
  <si>
    <t>AXW025-W</t>
  </si>
  <si>
    <t>AXW032-W</t>
  </si>
  <si>
    <t>AXW040-W</t>
  </si>
  <si>
    <t>AXW050-W</t>
  </si>
  <si>
    <t>AXW065-W</t>
  </si>
  <si>
    <t>AXW080-W</t>
  </si>
  <si>
    <t>AXW100-W</t>
  </si>
  <si>
    <t>AXW125-W</t>
  </si>
  <si>
    <t>AXW150-W</t>
  </si>
  <si>
    <t>AXW200-W</t>
  </si>
  <si>
    <t>AXW250-W</t>
  </si>
  <si>
    <t>AXW300-W</t>
  </si>
  <si>
    <t>AXW350-W</t>
  </si>
  <si>
    <t>AXW400-W</t>
  </si>
  <si>
    <t>AXW500G</t>
  </si>
  <si>
    <t>AXW600G</t>
  </si>
  <si>
    <t>AXW700G</t>
  </si>
  <si>
    <t>AXW800G</t>
  </si>
  <si>
    <t>AXW900G</t>
  </si>
  <si>
    <t>AXW10LG</t>
  </si>
  <si>
    <t>AXW12LG</t>
  </si>
  <si>
    <t>AXW14LG</t>
  </si>
  <si>
    <t>AXW16LG</t>
  </si>
  <si>
    <t>AXW18LG</t>
  </si>
  <si>
    <t>AXW500W</t>
  </si>
  <si>
    <t>AXW600W</t>
  </si>
  <si>
    <t>AXW700W</t>
  </si>
  <si>
    <t>AXW800W</t>
  </si>
  <si>
    <t>AXW900W</t>
  </si>
  <si>
    <t>AXW10LW</t>
  </si>
  <si>
    <t>AXW12LW</t>
  </si>
  <si>
    <t>AXW14LW</t>
  </si>
  <si>
    <t>AXW16LW</t>
  </si>
  <si>
    <t>AXW18LW</t>
  </si>
  <si>
    <t>AXW MS Suffix Code</t>
  </si>
  <si>
    <t>AXW Type</t>
  </si>
  <si>
    <t>AXW Liner</t>
  </si>
  <si>
    <t>AXW Transmitter</t>
  </si>
  <si>
    <t>AXW Integral or AXW4A</t>
  </si>
  <si>
    <t>AXFA11G</t>
  </si>
  <si>
    <t>Error Check</t>
  </si>
  <si>
    <t>Excitation:</t>
  </si>
  <si>
    <t>Transmitter:</t>
  </si>
  <si>
    <t>25-400mm</t>
  </si>
  <si>
    <t>Liner</t>
  </si>
  <si>
    <t>Calibration</t>
  </si>
  <si>
    <t>Standard (Code B)</t>
  </si>
  <si>
    <t>Explosion Proof</t>
  </si>
  <si>
    <t>ERROR- Not Available</t>
  </si>
  <si>
    <t>AXW13LG</t>
  </si>
  <si>
    <t>AXW15LG</t>
  </si>
  <si>
    <t>AXW13LW</t>
  </si>
  <si>
    <t>AXW15LW</t>
  </si>
  <si>
    <t>Rev 0 - July 2017</t>
  </si>
  <si>
    <t>Rev 1 - Jan 2019</t>
  </si>
  <si>
    <t>AXW025-C</t>
  </si>
  <si>
    <t>AXW032-C</t>
  </si>
  <si>
    <t>AXW040-C</t>
  </si>
  <si>
    <t>AXW050-C</t>
  </si>
  <si>
    <t>AXW065-C</t>
  </si>
  <si>
    <t>AXW080-C</t>
  </si>
  <si>
    <t>AXW100-C</t>
  </si>
  <si>
    <t>AXW125-C</t>
  </si>
  <si>
    <t>AXW150-C</t>
  </si>
  <si>
    <t>AXW200-C</t>
  </si>
  <si>
    <t>AXW250-C</t>
  </si>
  <si>
    <t>AXW300-C</t>
  </si>
  <si>
    <t>AXW350-C</t>
  </si>
  <si>
    <t>AXW400-C</t>
  </si>
  <si>
    <t>Rev 2 - Aug 2019</t>
  </si>
  <si>
    <t>AXG1A Release</t>
  </si>
  <si>
    <t>AXG1A</t>
  </si>
  <si>
    <t>Made by Yokogawa Australia Pty Ltd</t>
  </si>
  <si>
    <t>Simon Lillie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</si>
</sst>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0.000"/>
    <numFmt numFmtId="167" formatCode="[$-C09]d\ mmmm\ yyyy;@"/>
  </numFmts>
  <fonts count="17" x14ac:knownFonts="1">
    <font>
      <sz val="11"/>
      <name val="Times New Roman"/>
    </font>
    <font>
      <sz val="11"/>
      <name val="Times New Roman"/>
      <family val="1"/>
    </font>
    <font>
      <b/>
      <sz val="11"/>
      <name val="Times New Roman"/>
      <family val="1"/>
    </font>
    <font>
      <sz val="22"/>
      <name val="Times New Roman"/>
      <family val="1"/>
    </font>
    <font>
      <sz val="8"/>
      <name val="Times New Roman"/>
      <family val="1"/>
    </font>
    <font>
      <b/>
      <sz val="10"/>
      <name val="Arial"/>
      <family val="2"/>
    </font>
    <font>
      <vertAlign val="superscript"/>
      <sz val="11"/>
      <name val="Times New Roman"/>
      <family val="1"/>
    </font>
    <font>
      <b/>
      <vertAlign val="superscript"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u/>
      <sz val="9"/>
      <color indexed="81"/>
      <name val="Tahoma"/>
      <family val="2"/>
    </font>
    <font>
      <i/>
      <sz val="1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3" fillId="0" borderId="0" xfId="0" applyFont="1"/>
    <xf numFmtId="164" fontId="0" fillId="0" borderId="0" xfId="0" applyNumberFormat="1"/>
    <xf numFmtId="0" fontId="0" fillId="0" borderId="1" xfId="0" applyBorder="1"/>
    <xf numFmtId="2" fontId="5" fillId="0" borderId="0" xfId="0" applyNumberFormat="1" applyFont="1" applyBorder="1"/>
    <xf numFmtId="0" fontId="2" fillId="0" borderId="1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Protection="1"/>
    <xf numFmtId="0" fontId="3" fillId="0" borderId="0" xfId="0" applyFont="1" applyFill="1"/>
    <xf numFmtId="0" fontId="0" fillId="0" borderId="0" xfId="0" applyFill="1"/>
    <xf numFmtId="0" fontId="0" fillId="0" borderId="2" xfId="0" applyFill="1" applyBorder="1"/>
    <xf numFmtId="165" fontId="0" fillId="0" borderId="0" xfId="0" applyNumberFormat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166" fontId="0" fillId="4" borderId="7" xfId="0" applyNumberFormat="1" applyFill="1" applyBorder="1"/>
    <xf numFmtId="0" fontId="0" fillId="0" borderId="0" xfId="0" applyAlignment="1"/>
    <xf numFmtId="2" fontId="0" fillId="0" borderId="0" xfId="0" applyNumberFormat="1" applyBorder="1"/>
    <xf numFmtId="0" fontId="0" fillId="0" borderId="0" xfId="0" applyBorder="1"/>
    <xf numFmtId="165" fontId="0" fillId="0" borderId="0" xfId="0" applyNumberFormat="1" applyBorder="1"/>
    <xf numFmtId="2" fontId="0" fillId="0" borderId="8" xfId="0" applyNumberFormat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8" xfId="0" applyBorder="1"/>
    <xf numFmtId="0" fontId="0" fillId="0" borderId="12" xfId="0" applyBorder="1"/>
    <xf numFmtId="0" fontId="0" fillId="0" borderId="5" xfId="0" applyBorder="1"/>
    <xf numFmtId="0" fontId="0" fillId="0" borderId="13" xfId="0" applyBorder="1"/>
    <xf numFmtId="0" fontId="0" fillId="0" borderId="6" xfId="0" applyBorder="1"/>
    <xf numFmtId="0" fontId="0" fillId="0" borderId="0" xfId="0" applyBorder="1" applyAlignment="1"/>
    <xf numFmtId="0" fontId="8" fillId="2" borderId="2" xfId="0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164" fontId="2" fillId="0" borderId="0" xfId="0" applyNumberFormat="1" applyFont="1" applyAlignment="1">
      <alignment horizontal="center"/>
    </xf>
    <xf numFmtId="0" fontId="0" fillId="3" borderId="1" xfId="0" applyFill="1" applyBorder="1" applyProtection="1">
      <protection locked="0"/>
    </xf>
    <xf numFmtId="0" fontId="2" fillId="0" borderId="12" xfId="0" applyFont="1" applyBorder="1"/>
    <xf numFmtId="0" fontId="0" fillId="0" borderId="8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1" fontId="0" fillId="0" borderId="20" xfId="0" applyNumberFormat="1" applyBorder="1"/>
    <xf numFmtId="2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0" xfId="0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1" fillId="0" borderId="8" xfId="0" applyFont="1" applyBorder="1" applyAlignment="1"/>
    <xf numFmtId="0" fontId="8" fillId="0" borderId="1" xfId="0" applyFont="1" applyBorder="1" applyAlignment="1">
      <alignment horizontal="center"/>
    </xf>
    <xf numFmtId="0" fontId="0" fillId="0" borderId="1" xfId="0" applyFill="1" applyBorder="1"/>
    <xf numFmtId="0" fontId="8" fillId="2" borderId="1" xfId="0" applyFont="1" applyFill="1" applyBorder="1" applyAlignment="1" applyProtection="1">
      <alignment horizontal="center"/>
      <protection locked="0"/>
    </xf>
    <xf numFmtId="0" fontId="0" fillId="0" borderId="0" xfId="0" applyFill="1" applyAlignment="1">
      <alignment horizontal="center"/>
    </xf>
    <xf numFmtId="0" fontId="2" fillId="4" borderId="9" xfId="0" applyFont="1" applyFill="1" applyBorder="1"/>
    <xf numFmtId="0" fontId="2" fillId="4" borderId="11" xfId="0" applyFont="1" applyFill="1" applyBorder="1"/>
    <xf numFmtId="165" fontId="0" fillId="4" borderId="12" xfId="0" applyNumberFormat="1" applyFill="1" applyBorder="1" applyAlignment="1">
      <alignment horizontal="center" vertical="center"/>
    </xf>
    <xf numFmtId="165" fontId="0" fillId="4" borderId="5" xfId="0" applyNumberFormat="1" applyFill="1" applyBorder="1" applyAlignment="1">
      <alignment horizontal="center" vertical="center"/>
    </xf>
    <xf numFmtId="0" fontId="9" fillId="0" borderId="12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2" fillId="2" borderId="3" xfId="0" applyFont="1" applyFill="1" applyBorder="1"/>
    <xf numFmtId="0" fontId="2" fillId="2" borderId="7" xfId="0" applyFont="1" applyFill="1" applyBorder="1"/>
    <xf numFmtId="0" fontId="2" fillId="2" borderId="4" xfId="0" applyFont="1" applyFill="1" applyBorder="1"/>
    <xf numFmtId="0" fontId="0" fillId="5" borderId="0" xfId="0" applyFill="1"/>
    <xf numFmtId="0" fontId="10" fillId="0" borderId="0" xfId="0" applyFont="1" applyFill="1"/>
    <xf numFmtId="0" fontId="1" fillId="0" borderId="0" xfId="0" applyFont="1"/>
    <xf numFmtId="0" fontId="1" fillId="0" borderId="0" xfId="0" applyFont="1" applyFill="1"/>
    <xf numFmtId="1" fontId="11" fillId="0" borderId="8" xfId="0" applyNumberFormat="1" applyFont="1" applyBorder="1"/>
    <xf numFmtId="2" fontId="0" fillId="4" borderId="8" xfId="0" applyNumberFormat="1" applyFill="1" applyBorder="1"/>
    <xf numFmtId="2" fontId="0" fillId="4" borderId="6" xfId="0" applyNumberFormat="1" applyFill="1" applyBorder="1"/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8" fillId="0" borderId="0" xfId="0" applyFont="1"/>
    <xf numFmtId="0" fontId="2" fillId="2" borderId="4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" fontId="0" fillId="0" borderId="0" xfId="0" applyNumberFormat="1"/>
    <xf numFmtId="1" fontId="0" fillId="0" borderId="0" xfId="0" applyNumberFormat="1" applyBorder="1"/>
    <xf numFmtId="0" fontId="2" fillId="6" borderId="0" xfId="0" applyFont="1" applyFill="1"/>
    <xf numFmtId="0" fontId="2" fillId="7" borderId="0" xfId="0" applyFont="1" applyFill="1"/>
    <xf numFmtId="0" fontId="9" fillId="0" borderId="0" xfId="0" applyFont="1" applyBorder="1" applyAlignment="1">
      <alignment horizontal="left"/>
    </xf>
    <xf numFmtId="0" fontId="0" fillId="0" borderId="8" xfId="0" applyFill="1" applyBorder="1"/>
    <xf numFmtId="167" fontId="0" fillId="0" borderId="0" xfId="0" quotePrefix="1" applyNumberFormat="1"/>
    <xf numFmtId="0" fontId="8" fillId="0" borderId="8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left"/>
    </xf>
    <xf numFmtId="0" fontId="0" fillId="0" borderId="6" xfId="0" applyFill="1" applyBorder="1"/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2" fillId="8" borderId="29" xfId="0" applyFont="1" applyFill="1" applyBorder="1"/>
    <xf numFmtId="0" fontId="2" fillId="8" borderId="28" xfId="0" applyFont="1" applyFill="1" applyBorder="1"/>
    <xf numFmtId="0" fontId="2" fillId="0" borderId="0" xfId="0" applyFont="1" applyBorder="1"/>
    <xf numFmtId="0" fontId="8" fillId="0" borderId="0" xfId="0" applyFont="1" applyFill="1" applyBorder="1"/>
    <xf numFmtId="0" fontId="8" fillId="6" borderId="22" xfId="0" applyFont="1" applyFill="1" applyBorder="1"/>
    <xf numFmtId="0" fontId="0" fillId="9" borderId="0" xfId="0" applyFill="1"/>
    <xf numFmtId="2" fontId="0" fillId="0" borderId="27" xfId="0" applyNumberFormat="1" applyBorder="1"/>
    <xf numFmtId="2" fontId="0" fillId="0" borderId="28" xfId="0" applyNumberFormat="1" applyBorder="1"/>
    <xf numFmtId="166" fontId="0" fillId="0" borderId="27" xfId="0" applyNumberFormat="1" applyBorder="1"/>
    <xf numFmtId="166" fontId="0" fillId="0" borderId="28" xfId="0" applyNumberFormat="1" applyBorder="1"/>
    <xf numFmtId="0" fontId="2" fillId="10" borderId="0" xfId="0" applyFont="1" applyFill="1"/>
    <xf numFmtId="166" fontId="0" fillId="0" borderId="29" xfId="0" applyNumberFormat="1" applyBorder="1"/>
    <xf numFmtId="0" fontId="2" fillId="11" borderId="22" xfId="0" applyFont="1" applyFill="1" applyBorder="1"/>
    <xf numFmtId="0" fontId="2" fillId="0" borderId="27" xfId="0" applyFont="1" applyFill="1" applyBorder="1"/>
    <xf numFmtId="0" fontId="2" fillId="0" borderId="28" xfId="0" applyFont="1" applyFill="1" applyBorder="1"/>
    <xf numFmtId="0" fontId="0" fillId="5" borderId="1" xfId="0" applyFill="1" applyBorder="1" applyProtection="1"/>
    <xf numFmtId="0" fontId="0" fillId="2" borderId="0" xfId="0" applyFill="1" applyProtection="1">
      <protection locked="0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/>
              <a:t>AXW Accuracy </a:t>
            </a:r>
          </a:p>
        </c:rich>
      </c:tx>
      <c:layout>
        <c:manualLayout>
          <c:xMode val="edge"/>
          <c:yMode val="edge"/>
          <c:x val="0.38765044174323432"/>
          <c:y val="3.70370370370370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22138422406349"/>
          <c:y val="0.17257723057317195"/>
          <c:w val="0.80446036501357221"/>
          <c:h val="0.659575990820753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'AXW Calculator'!$L$9:$L$52</c:f>
              <c:numCache>
                <c:formatCode>0.0</c:formatCode>
                <c:ptCount val="44"/>
                <c:pt idx="0">
                  <c:v>100</c:v>
                </c:pt>
                <c:pt idx="1">
                  <c:v>97.5</c:v>
                </c:pt>
                <c:pt idx="2">
                  <c:v>95</c:v>
                </c:pt>
                <c:pt idx="3">
                  <c:v>92.5</c:v>
                </c:pt>
                <c:pt idx="4">
                  <c:v>90</c:v>
                </c:pt>
                <c:pt idx="5">
                  <c:v>87.5</c:v>
                </c:pt>
                <c:pt idx="6">
                  <c:v>85</c:v>
                </c:pt>
                <c:pt idx="7">
                  <c:v>82.5</c:v>
                </c:pt>
                <c:pt idx="8">
                  <c:v>80</c:v>
                </c:pt>
                <c:pt idx="9">
                  <c:v>77.5</c:v>
                </c:pt>
                <c:pt idx="10">
                  <c:v>75</c:v>
                </c:pt>
                <c:pt idx="11">
                  <c:v>72.5</c:v>
                </c:pt>
                <c:pt idx="12">
                  <c:v>70</c:v>
                </c:pt>
                <c:pt idx="13">
                  <c:v>67.5</c:v>
                </c:pt>
                <c:pt idx="14">
                  <c:v>65</c:v>
                </c:pt>
                <c:pt idx="15">
                  <c:v>62.5</c:v>
                </c:pt>
                <c:pt idx="16">
                  <c:v>60</c:v>
                </c:pt>
                <c:pt idx="17">
                  <c:v>57.5</c:v>
                </c:pt>
                <c:pt idx="18">
                  <c:v>55</c:v>
                </c:pt>
                <c:pt idx="19">
                  <c:v>52.5</c:v>
                </c:pt>
                <c:pt idx="20">
                  <c:v>50</c:v>
                </c:pt>
                <c:pt idx="21">
                  <c:v>47.5</c:v>
                </c:pt>
                <c:pt idx="22">
                  <c:v>45</c:v>
                </c:pt>
                <c:pt idx="23">
                  <c:v>42.5</c:v>
                </c:pt>
                <c:pt idx="24">
                  <c:v>40</c:v>
                </c:pt>
                <c:pt idx="25">
                  <c:v>37.5</c:v>
                </c:pt>
                <c:pt idx="26">
                  <c:v>35</c:v>
                </c:pt>
                <c:pt idx="27">
                  <c:v>32.5</c:v>
                </c:pt>
                <c:pt idx="28">
                  <c:v>30</c:v>
                </c:pt>
                <c:pt idx="29">
                  <c:v>27.5</c:v>
                </c:pt>
                <c:pt idx="30">
                  <c:v>25</c:v>
                </c:pt>
                <c:pt idx="31">
                  <c:v>22.5</c:v>
                </c:pt>
                <c:pt idx="32">
                  <c:v>20</c:v>
                </c:pt>
                <c:pt idx="33">
                  <c:v>17.5</c:v>
                </c:pt>
                <c:pt idx="34">
                  <c:v>15</c:v>
                </c:pt>
                <c:pt idx="35">
                  <c:v>12.5</c:v>
                </c:pt>
                <c:pt idx="36">
                  <c:v>10</c:v>
                </c:pt>
                <c:pt idx="37">
                  <c:v>9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</c:numCache>
            </c:numRef>
          </c:xVal>
          <c:yVal>
            <c:numRef>
              <c:f>'AXW Calculator'!$M$9:$M$52</c:f>
              <c:numCache>
                <c:formatCode>0.00</c:formatCode>
                <c:ptCount val="4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  <c:pt idx="24">
                  <c:v>0.35</c:v>
                </c:pt>
                <c:pt idx="25">
                  <c:v>0.35</c:v>
                </c:pt>
                <c:pt idx="26">
                  <c:v>0.35</c:v>
                </c:pt>
                <c:pt idx="27">
                  <c:v>0.35</c:v>
                </c:pt>
                <c:pt idx="28">
                  <c:v>0.35</c:v>
                </c:pt>
                <c:pt idx="29">
                  <c:v>0.35</c:v>
                </c:pt>
                <c:pt idx="30">
                  <c:v>0.35</c:v>
                </c:pt>
                <c:pt idx="31">
                  <c:v>0.35</c:v>
                </c:pt>
                <c:pt idx="32">
                  <c:v>0.35</c:v>
                </c:pt>
                <c:pt idx="33">
                  <c:v>0.35</c:v>
                </c:pt>
                <c:pt idx="34">
                  <c:v>0.35</c:v>
                </c:pt>
                <c:pt idx="35">
                  <c:v>0.35</c:v>
                </c:pt>
                <c:pt idx="36">
                  <c:v>0.35</c:v>
                </c:pt>
                <c:pt idx="37">
                  <c:v>0.35</c:v>
                </c:pt>
                <c:pt idx="38">
                  <c:v>0.35</c:v>
                </c:pt>
                <c:pt idx="39">
                  <c:v>0.35</c:v>
                </c:pt>
                <c:pt idx="40">
                  <c:v>0.35</c:v>
                </c:pt>
                <c:pt idx="41">
                  <c:v>0.35</c:v>
                </c:pt>
                <c:pt idx="42">
                  <c:v>0.35342917352885178</c:v>
                </c:pt>
                <c:pt idx="43">
                  <c:v>0.47123889803846897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DC-43BB-B964-406D1CA21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394991"/>
        <c:axId val="1"/>
      </c:scatterChart>
      <c:valAx>
        <c:axId val="998394991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Flow (% of Range)</a:t>
                </a:r>
              </a:p>
            </c:rich>
          </c:tx>
          <c:layout>
            <c:manualLayout>
              <c:xMode val="edge"/>
              <c:yMode val="edge"/>
              <c:x val="0.42881681344340705"/>
              <c:y val="0.907803538446583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0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Error (% of Rate)</a:t>
                </a:r>
              </a:p>
            </c:rich>
          </c:tx>
          <c:layout>
            <c:manualLayout>
              <c:xMode val="edge"/>
              <c:yMode val="edge"/>
              <c:x val="2.744424780011516E-2"/>
              <c:y val="0.3617027424041130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8394991"/>
        <c:crosses val="autoZero"/>
        <c:crossBetween val="midCat"/>
        <c:minorUnit val="0.5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http://www.yokogawa.com/pr/img/pr-yokogawa-logo-00.gif" TargetMode="External"/><Relationship Id="rId2" Type="http://schemas.openxmlformats.org/officeDocument/2006/relationships/image" Target="../media/image1.gif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25</xdr:row>
      <xdr:rowOff>161925</xdr:rowOff>
    </xdr:from>
    <xdr:to>
      <xdr:col>8</xdr:col>
      <xdr:colOff>952500</xdr:colOff>
      <xdr:row>47</xdr:row>
      <xdr:rowOff>0</xdr:rowOff>
    </xdr:to>
    <xdr:graphicFrame macro="">
      <xdr:nvGraphicFramePr>
        <xdr:cNvPr id="8339" name="Chart 1">
          <a:extLst>
            <a:ext uri="{FF2B5EF4-FFF2-40B4-BE49-F238E27FC236}">
              <a16:creationId xmlns:a16="http://schemas.microsoft.com/office/drawing/2014/main" id="{00000000-0008-0000-0100-000093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685800</xdr:colOff>
      <xdr:row>0</xdr:row>
      <xdr:rowOff>0</xdr:rowOff>
    </xdr:from>
    <xdr:to>
      <xdr:col>9</xdr:col>
      <xdr:colOff>0</xdr:colOff>
      <xdr:row>4</xdr:row>
      <xdr:rowOff>76200</xdr:rowOff>
    </xdr:to>
    <xdr:pic>
      <xdr:nvPicPr>
        <xdr:cNvPr id="8340" name="Picture 2" descr="Logo">
          <a:extLst>
            <a:ext uri="{FF2B5EF4-FFF2-40B4-BE49-F238E27FC236}">
              <a16:creationId xmlns:a16="http://schemas.microsoft.com/office/drawing/2014/main" id="{00000000-0008-0000-0100-00009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11906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47</xdr:row>
      <xdr:rowOff>0</xdr:rowOff>
    </xdr:from>
    <xdr:to>
      <xdr:col>3</xdr:col>
      <xdr:colOff>381001</xdr:colOff>
      <xdr:row>51</xdr:row>
      <xdr:rowOff>72009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9029700"/>
          <a:ext cx="1885951" cy="843534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381000</xdr:colOff>
      <xdr:row>47</xdr:row>
      <xdr:rowOff>152400</xdr:rowOff>
    </xdr:from>
    <xdr:to>
      <xdr:col>8</xdr:col>
      <xdr:colOff>1080313</xdr:colOff>
      <xdr:row>50</xdr:row>
      <xdr:rowOff>140732</xdr:rowOff>
    </xdr:to>
    <xdr:pic>
      <xdr:nvPicPr>
        <xdr:cNvPr id="7" name="図 14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0" y="9182100"/>
          <a:ext cx="2947213" cy="559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1"/>
  <sheetViews>
    <sheetView tabSelected="1" zoomScaleNormal="100" workbookViewId="0">
      <selection activeCell="B10" sqref="B10"/>
    </sheetView>
  </sheetViews>
  <sheetFormatPr defaultRowHeight="15" x14ac:dyDescent="0.25"/>
  <cols>
    <col min="1" max="1" width="35.85546875" bestFit="1" customWidth="1"/>
    <col min="2" max="2" width="42" customWidth="1"/>
    <col min="3" max="3" width="13.140625" customWidth="1"/>
    <col min="4" max="4" width="23.28515625" bestFit="1" customWidth="1"/>
    <col min="5" max="5" width="20.7109375" customWidth="1"/>
    <col min="6" max="6" width="10.5703125" bestFit="1" customWidth="1"/>
    <col min="7" max="7" width="14.28515625" customWidth="1"/>
    <col min="8" max="8" width="12.5703125" bestFit="1" customWidth="1"/>
    <col min="9" max="10" width="12.5703125" customWidth="1"/>
  </cols>
  <sheetData>
    <row r="1" spans="1:5" ht="27.75" x14ac:dyDescent="0.4">
      <c r="B1" s="5" t="s">
        <v>48</v>
      </c>
      <c r="C1" s="5"/>
    </row>
    <row r="2" spans="1:5" ht="15" customHeight="1" x14ac:dyDescent="0.4">
      <c r="B2" s="5"/>
      <c r="C2" s="5"/>
    </row>
    <row r="3" spans="1:5" ht="15" customHeight="1" thickBot="1" x14ac:dyDescent="0.3">
      <c r="A3" s="7" t="s">
        <v>35</v>
      </c>
      <c r="B3" s="42"/>
      <c r="C3" s="11"/>
    </row>
    <row r="4" spans="1:5" ht="15" customHeight="1" x14ac:dyDescent="0.25">
      <c r="A4" s="7" t="s">
        <v>11</v>
      </c>
      <c r="B4" s="42"/>
      <c r="C4" s="11"/>
      <c r="D4" s="105" t="s">
        <v>112</v>
      </c>
    </row>
    <row r="5" spans="1:5" ht="15" customHeight="1" thickBot="1" x14ac:dyDescent="0.3">
      <c r="A5" s="7" t="s">
        <v>12</v>
      </c>
      <c r="B5" s="42"/>
      <c r="C5" s="11"/>
      <c r="D5" s="106" t="str">
        <f>IF(AND(D8="OK",D9="OK",D10="OK",B17="OK"),"OK","ERROR")</f>
        <v>OK</v>
      </c>
    </row>
    <row r="6" spans="1:5" ht="15" customHeight="1" x14ac:dyDescent="0.25">
      <c r="A6" s="7" t="s">
        <v>52</v>
      </c>
      <c r="B6" s="120" t="str">
        <f>A81</f>
        <v>AXW050-G</v>
      </c>
      <c r="C6" s="11"/>
      <c r="D6" s="89"/>
      <c r="E6" s="80"/>
    </row>
    <row r="7" spans="1:5" ht="15" customHeight="1" x14ac:dyDescent="0.25">
      <c r="A7" s="7" t="s">
        <v>106</v>
      </c>
      <c r="B7" s="42"/>
      <c r="C7" s="12"/>
      <c r="E7" s="81"/>
    </row>
    <row r="8" spans="1:5" ht="15" customHeight="1" x14ac:dyDescent="0.4">
      <c r="A8" s="15" t="s">
        <v>107</v>
      </c>
      <c r="B8" s="38" t="s">
        <v>21</v>
      </c>
      <c r="C8" s="13"/>
      <c r="D8" t="str">
        <f>IF(AND(B8="Submersible",B9="PTFE",size&lt;500),"ERROR",IF(AND(B8="Explosion Proof",B9="PTFE"),"OK",IF(AND(B8="Explosion Proof",OR(B9="Natural Soft Rubber",B9="Natural Hard Rubber",B9="Polyurethane Rubber")),"ERROR","OK")))</f>
        <v>OK</v>
      </c>
      <c r="E8" s="81"/>
    </row>
    <row r="9" spans="1:5" ht="15" customHeight="1" x14ac:dyDescent="0.4">
      <c r="A9" s="66" t="s">
        <v>108</v>
      </c>
      <c r="B9" s="67" t="s">
        <v>50</v>
      </c>
      <c r="C9" s="13"/>
      <c r="D9" t="str">
        <f>IF(AND(B9="PTFE",size&lt;=1000),"OK",IF(AND(OR(size=1200,size=1400,size=1600,size=1800),B9="Natural Hard Rubber"),"OK",IF(AND(size&lt;1200,OR(B9="PTFE",B9="Natural Soft Rubber",B9="Natural Hard Rubber",B9="Polyurethane Rubber")),"OK",IF(AND(B9="Polyurethane Rubber",OR(size=1350,size=1500)),"OK","ERROR"))))</f>
        <v>OK</v>
      </c>
    </row>
    <row r="10" spans="1:5" ht="15" customHeight="1" x14ac:dyDescent="0.4">
      <c r="A10" s="66" t="s">
        <v>109</v>
      </c>
      <c r="B10" s="67" t="s">
        <v>110</v>
      </c>
      <c r="C10" s="13"/>
      <c r="D10" t="str">
        <f>IF(AND(size&lt;=1000,B10="AXW Integral or AXW4A"),"OK",IF(AND(size&lt;=1000,OR(B10="AXFA11G",B10="AXG1A")),"OK",IF(AND(size&gt;1000,OR(B10="AXFA11G",B10="AXG1A")),"OK","ERROR")))</f>
        <v>OK</v>
      </c>
    </row>
    <row r="11" spans="1:5" x14ac:dyDescent="0.25">
      <c r="A11" s="7" t="s">
        <v>1</v>
      </c>
      <c r="B11" s="39">
        <v>50</v>
      </c>
      <c r="C11" s="11"/>
      <c r="E11" s="79" t="str">
        <f>IF(AND(size&gt;=25,size&lt;=200),"25-200","Other")</f>
        <v>25-200</v>
      </c>
    </row>
    <row r="12" spans="1:5" x14ac:dyDescent="0.25">
      <c r="A12" s="7" t="s">
        <v>16</v>
      </c>
      <c r="B12" s="40">
        <v>50</v>
      </c>
      <c r="C12" s="121" t="s">
        <v>47</v>
      </c>
      <c r="E12" s="81"/>
    </row>
    <row r="13" spans="1:5" x14ac:dyDescent="0.25">
      <c r="E13" s="81"/>
    </row>
    <row r="14" spans="1:5" hidden="1" x14ac:dyDescent="0.25">
      <c r="B14" s="6">
        <f>IF($C$12="l/sec",VLOOKUP($B$11,$B$20:$K$45,4,FALSE),IF($C$12="l/min",VLOOKUP($B$11,$B$20:$K$45,5,FALSE),IF($C$12="l/hr",VLOOKUP($B$11,$B$20:$K$45,6,FALSE),IF($C$12="m3/hr",VLOOKUP($B$11,$B$20:$K$45,7,FALSE),IF($C$12="m3/min",VLOOKUP($B$11,$B$20:$K$45,8,FALSE),IF($C$12="m3/sec",VLOOKUP($B$11,$B$20:$K$45,9,FALSE),IF($C$12="Ml/day",VLOOKUP($B$11,$B$20:K$45,10,FALSE),"You have made an error somewhere!")))))))</f>
        <v>7.0685834705770354</v>
      </c>
      <c r="C14" s="90">
        <f>ROUNDDOWN(10*B14,0)</f>
        <v>70</v>
      </c>
    </row>
    <row r="15" spans="1:5" x14ac:dyDescent="0.25">
      <c r="A15" t="s">
        <v>2</v>
      </c>
      <c r="B15" s="6">
        <f>B12/B14</f>
        <v>7.0735530263064588</v>
      </c>
      <c r="C15" t="s">
        <v>7</v>
      </c>
    </row>
    <row r="16" spans="1:5" x14ac:dyDescent="0.25">
      <c r="B16" s="41" t="str">
        <f>IF(OR(B8="",B9="",size=""),"ENTER: SIZE / TYPE / LINER","")</f>
        <v/>
      </c>
    </row>
    <row r="17" spans="1:11" x14ac:dyDescent="0.25">
      <c r="A17" t="s">
        <v>40</v>
      </c>
      <c r="B17" s="28" t="str">
        <f>IF(AND(B11&lt;=1000,B15&gt;=0.1,B15&lt;10),"OK",IF(AND(B11&gt;1000,B15&gt;=0.3,B15&lt;10),"OK","SPAN ERROR"))</f>
        <v>OK</v>
      </c>
      <c r="E17" s="14"/>
      <c r="F17" s="14"/>
      <c r="G17" s="14"/>
      <c r="H17" s="14"/>
      <c r="I17" s="14"/>
      <c r="J17" s="14"/>
      <c r="K17" s="14"/>
    </row>
    <row r="18" spans="1:11" x14ac:dyDescent="0.25">
      <c r="B18" s="68"/>
      <c r="E18" s="14"/>
      <c r="F18" s="14"/>
      <c r="G18" s="14"/>
      <c r="H18" s="14"/>
      <c r="I18" s="14"/>
      <c r="J18" s="14"/>
      <c r="K18" s="14"/>
    </row>
    <row r="19" spans="1:11" ht="17.25" hidden="1" x14ac:dyDescent="0.25">
      <c r="B19" s="1" t="s">
        <v>1</v>
      </c>
      <c r="C19" s="1" t="s">
        <v>17</v>
      </c>
      <c r="D19" s="1" t="s">
        <v>0</v>
      </c>
      <c r="E19" s="1" t="s">
        <v>8</v>
      </c>
      <c r="F19" s="1" t="s">
        <v>9</v>
      </c>
      <c r="G19" s="1" t="s">
        <v>10</v>
      </c>
      <c r="H19" s="1" t="s">
        <v>18</v>
      </c>
      <c r="I19" s="1" t="s">
        <v>19</v>
      </c>
      <c r="J19" s="1" t="s">
        <v>20</v>
      </c>
      <c r="K19" s="9" t="s">
        <v>15</v>
      </c>
    </row>
    <row r="20" spans="1:11" hidden="1" x14ac:dyDescent="0.25">
      <c r="B20" s="65">
        <v>25</v>
      </c>
      <c r="C20" s="65">
        <f>B20</f>
        <v>25</v>
      </c>
      <c r="D20" s="2">
        <f t="shared" ref="D20:D33" si="0">(PI()*((C20/1000)^2))/4</f>
        <v>4.9087385212340522E-4</v>
      </c>
      <c r="E20" s="3">
        <f t="shared" ref="E20:E33" si="1">D20*1000</f>
        <v>0.49087385212340523</v>
      </c>
      <c r="F20" s="3">
        <f t="shared" ref="F20:F33" si="2">D20*60*1000</f>
        <v>29.452431127404314</v>
      </c>
      <c r="G20" s="3">
        <f t="shared" ref="G20:G33" si="3">D20*3600*1000</f>
        <v>1767.1458676442589</v>
      </c>
      <c r="H20" s="4">
        <f t="shared" ref="H20:H33" si="4">D20*3600</f>
        <v>1.7671458676442588</v>
      </c>
      <c r="I20" s="4">
        <f t="shared" ref="I20:I33" si="5">D20*60</f>
        <v>2.9452431127404314E-2</v>
      </c>
      <c r="J20" s="4">
        <f t="shared" ref="J20:J33" si="6">D20</f>
        <v>4.9087385212340522E-4</v>
      </c>
      <c r="K20" s="7">
        <f t="shared" ref="K20:K33" si="7">D20*24*3.6</f>
        <v>4.2411500823462213E-2</v>
      </c>
    </row>
    <row r="21" spans="1:11" hidden="1" x14ac:dyDescent="0.25">
      <c r="B21" s="65">
        <v>32</v>
      </c>
      <c r="C21" s="65">
        <f t="shared" ref="C21:C33" si="8">B21</f>
        <v>32</v>
      </c>
      <c r="D21" s="2">
        <f t="shared" si="0"/>
        <v>8.0424771931898698E-4</v>
      </c>
      <c r="E21" s="3">
        <f t="shared" si="1"/>
        <v>0.80424771931898698</v>
      </c>
      <c r="F21" s="3">
        <f t="shared" si="2"/>
        <v>48.254863159139219</v>
      </c>
      <c r="G21" s="3">
        <f t="shared" si="3"/>
        <v>2895.2917895483533</v>
      </c>
      <c r="H21" s="4">
        <f t="shared" si="4"/>
        <v>2.8952917895483532</v>
      </c>
      <c r="I21" s="4">
        <f t="shared" si="5"/>
        <v>4.8254863159139218E-2</v>
      </c>
      <c r="J21" s="4">
        <f t="shared" si="6"/>
        <v>8.0424771931898698E-4</v>
      </c>
      <c r="K21" s="7">
        <f t="shared" si="7"/>
        <v>6.9487002949160478E-2</v>
      </c>
    </row>
    <row r="22" spans="1:11" hidden="1" x14ac:dyDescent="0.25">
      <c r="B22" s="65">
        <v>40</v>
      </c>
      <c r="C22" s="65">
        <f t="shared" si="8"/>
        <v>40</v>
      </c>
      <c r="D22" s="2">
        <f t="shared" si="0"/>
        <v>1.2566370614359172E-3</v>
      </c>
      <c r="E22" s="3">
        <f t="shared" si="1"/>
        <v>1.2566370614359172</v>
      </c>
      <c r="F22" s="3">
        <f t="shared" si="2"/>
        <v>75.398223686155035</v>
      </c>
      <c r="G22" s="3">
        <f t="shared" si="3"/>
        <v>4523.8934211693022</v>
      </c>
      <c r="H22" s="4">
        <f t="shared" si="4"/>
        <v>4.5238934211693023</v>
      </c>
      <c r="I22" s="4">
        <f t="shared" si="5"/>
        <v>7.5398223686155036E-2</v>
      </c>
      <c r="J22" s="4">
        <f t="shared" si="6"/>
        <v>1.2566370614359172E-3</v>
      </c>
      <c r="K22" s="7">
        <f t="shared" si="7"/>
        <v>0.10857344210806325</v>
      </c>
    </row>
    <row r="23" spans="1:11" hidden="1" x14ac:dyDescent="0.25">
      <c r="B23" s="65">
        <v>50</v>
      </c>
      <c r="C23" s="65">
        <f t="shared" si="8"/>
        <v>50</v>
      </c>
      <c r="D23" s="2">
        <f t="shared" si="0"/>
        <v>1.9634954084936209E-3</v>
      </c>
      <c r="E23" s="3">
        <f t="shared" si="1"/>
        <v>1.9634954084936209</v>
      </c>
      <c r="F23" s="3">
        <f t="shared" si="2"/>
        <v>117.80972450961725</v>
      </c>
      <c r="G23" s="3">
        <f t="shared" si="3"/>
        <v>7068.5834705770358</v>
      </c>
      <c r="H23" s="4">
        <f t="shared" si="4"/>
        <v>7.0685834705770354</v>
      </c>
      <c r="I23" s="4">
        <f t="shared" si="5"/>
        <v>0.11780972450961726</v>
      </c>
      <c r="J23" s="4">
        <f t="shared" si="6"/>
        <v>1.9634954084936209E-3</v>
      </c>
      <c r="K23" s="7">
        <f t="shared" si="7"/>
        <v>0.16964600329384885</v>
      </c>
    </row>
    <row r="24" spans="1:11" hidden="1" x14ac:dyDescent="0.25">
      <c r="B24" s="65">
        <v>65</v>
      </c>
      <c r="C24" s="65">
        <f t="shared" si="8"/>
        <v>65</v>
      </c>
      <c r="D24" s="2">
        <f t="shared" si="0"/>
        <v>3.3183072403542195E-3</v>
      </c>
      <c r="E24" s="3">
        <f t="shared" si="1"/>
        <v>3.3183072403542195</v>
      </c>
      <c r="F24" s="3">
        <f t="shared" si="2"/>
        <v>199.09843442125316</v>
      </c>
      <c r="G24" s="3">
        <f t="shared" si="3"/>
        <v>11945.90606527519</v>
      </c>
      <c r="H24" s="4">
        <f t="shared" si="4"/>
        <v>11.94590606527519</v>
      </c>
      <c r="I24" s="4">
        <f t="shared" si="5"/>
        <v>0.19909843442125316</v>
      </c>
      <c r="J24" s="4">
        <f t="shared" si="6"/>
        <v>3.3183072403542195E-3</v>
      </c>
      <c r="K24" s="7">
        <f t="shared" si="7"/>
        <v>0.2867017455666046</v>
      </c>
    </row>
    <row r="25" spans="1:11" hidden="1" x14ac:dyDescent="0.25">
      <c r="B25" s="65">
        <v>80</v>
      </c>
      <c r="C25" s="65">
        <f t="shared" si="8"/>
        <v>80</v>
      </c>
      <c r="D25" s="2">
        <f t="shared" si="0"/>
        <v>5.0265482457436689E-3</v>
      </c>
      <c r="E25" s="3">
        <f t="shared" si="1"/>
        <v>5.026548245743669</v>
      </c>
      <c r="F25" s="3">
        <f t="shared" si="2"/>
        <v>301.59289474462014</v>
      </c>
      <c r="G25" s="3">
        <f t="shared" si="3"/>
        <v>18095.573684677209</v>
      </c>
      <c r="H25" s="4">
        <f t="shared" si="4"/>
        <v>18.095573684677209</v>
      </c>
      <c r="I25" s="4">
        <f t="shared" si="5"/>
        <v>0.30159289474462014</v>
      </c>
      <c r="J25" s="4">
        <f t="shared" si="6"/>
        <v>5.0265482457436689E-3</v>
      </c>
      <c r="K25" s="7">
        <f t="shared" si="7"/>
        <v>0.43429376843225298</v>
      </c>
    </row>
    <row r="26" spans="1:11" hidden="1" x14ac:dyDescent="0.25">
      <c r="B26" s="65">
        <v>100</v>
      </c>
      <c r="C26" s="65">
        <f t="shared" si="8"/>
        <v>100</v>
      </c>
      <c r="D26" s="2">
        <f t="shared" si="0"/>
        <v>7.8539816339744835E-3</v>
      </c>
      <c r="E26" s="3">
        <f t="shared" si="1"/>
        <v>7.8539816339744837</v>
      </c>
      <c r="F26" s="3">
        <f t="shared" si="2"/>
        <v>471.23889803846902</v>
      </c>
      <c r="G26" s="3">
        <f t="shared" si="3"/>
        <v>28274.333882308143</v>
      </c>
      <c r="H26" s="4">
        <f t="shared" si="4"/>
        <v>28.274333882308142</v>
      </c>
      <c r="I26" s="4">
        <f t="shared" si="5"/>
        <v>0.47123889803846902</v>
      </c>
      <c r="J26" s="4">
        <f t="shared" si="6"/>
        <v>7.8539816339744835E-3</v>
      </c>
      <c r="K26" s="7">
        <f t="shared" si="7"/>
        <v>0.67858401317539541</v>
      </c>
    </row>
    <row r="27" spans="1:11" hidden="1" x14ac:dyDescent="0.25">
      <c r="B27" s="65">
        <v>125</v>
      </c>
      <c r="C27" s="65">
        <f t="shared" si="8"/>
        <v>125</v>
      </c>
      <c r="D27" s="2">
        <f t="shared" si="0"/>
        <v>1.2271846303085129E-2</v>
      </c>
      <c r="E27" s="3">
        <f t="shared" si="1"/>
        <v>12.271846303085129</v>
      </c>
      <c r="F27" s="3">
        <f t="shared" si="2"/>
        <v>736.31077818510767</v>
      </c>
      <c r="G27" s="3">
        <f t="shared" si="3"/>
        <v>44178.646691106464</v>
      </c>
      <c r="H27" s="4">
        <f t="shared" si="4"/>
        <v>44.178646691106465</v>
      </c>
      <c r="I27" s="4">
        <f t="shared" si="5"/>
        <v>0.73631077818510771</v>
      </c>
      <c r="J27" s="4">
        <f t="shared" si="6"/>
        <v>1.2271846303085129E-2</v>
      </c>
      <c r="K27" s="7">
        <f t="shared" si="7"/>
        <v>1.0602875205865552</v>
      </c>
    </row>
    <row r="28" spans="1:11" hidden="1" x14ac:dyDescent="0.25">
      <c r="B28" s="65">
        <v>150</v>
      </c>
      <c r="C28" s="65">
        <f t="shared" si="8"/>
        <v>150</v>
      </c>
      <c r="D28" s="2">
        <f t="shared" si="0"/>
        <v>1.7671458676442587E-2</v>
      </c>
      <c r="E28" s="3">
        <f t="shared" si="1"/>
        <v>17.671458676442587</v>
      </c>
      <c r="F28" s="3">
        <f t="shared" si="2"/>
        <v>1060.2875205865553</v>
      </c>
      <c r="G28" s="3">
        <f t="shared" si="3"/>
        <v>63617.251235193318</v>
      </c>
      <c r="H28" s="4">
        <f t="shared" si="4"/>
        <v>63.617251235193315</v>
      </c>
      <c r="I28" s="4">
        <f t="shared" si="5"/>
        <v>1.0602875205865552</v>
      </c>
      <c r="J28" s="4">
        <f t="shared" si="6"/>
        <v>1.7671458676442587E-2</v>
      </c>
      <c r="K28" s="7">
        <f t="shared" si="7"/>
        <v>1.5268140296446397</v>
      </c>
    </row>
    <row r="29" spans="1:11" hidden="1" x14ac:dyDescent="0.25">
      <c r="B29" s="65">
        <v>200</v>
      </c>
      <c r="C29" s="65">
        <f t="shared" si="8"/>
        <v>200</v>
      </c>
      <c r="D29" s="2">
        <f t="shared" si="0"/>
        <v>3.1415926535897934E-2</v>
      </c>
      <c r="E29" s="3">
        <f t="shared" si="1"/>
        <v>31.415926535897935</v>
      </c>
      <c r="F29" s="3">
        <f t="shared" si="2"/>
        <v>1884.9555921538761</v>
      </c>
      <c r="G29" s="3">
        <f t="shared" si="3"/>
        <v>113097.33552923257</v>
      </c>
      <c r="H29" s="4">
        <f t="shared" si="4"/>
        <v>113.09733552923257</v>
      </c>
      <c r="I29" s="4">
        <f t="shared" si="5"/>
        <v>1.8849555921538761</v>
      </c>
      <c r="J29" s="4">
        <f t="shared" si="6"/>
        <v>3.1415926535897934E-2</v>
      </c>
      <c r="K29" s="7">
        <f t="shared" si="7"/>
        <v>2.7143360527015816</v>
      </c>
    </row>
    <row r="30" spans="1:11" hidden="1" x14ac:dyDescent="0.25">
      <c r="B30" s="65">
        <v>250</v>
      </c>
      <c r="C30" s="65">
        <f t="shared" si="8"/>
        <v>250</v>
      </c>
      <c r="D30" s="2">
        <f t="shared" si="0"/>
        <v>4.9087385212340517E-2</v>
      </c>
      <c r="E30" s="3">
        <f t="shared" si="1"/>
        <v>49.087385212340514</v>
      </c>
      <c r="F30" s="3">
        <f t="shared" si="2"/>
        <v>2945.2431127404307</v>
      </c>
      <c r="G30" s="3">
        <f t="shared" si="3"/>
        <v>176714.58676442585</v>
      </c>
      <c r="H30" s="4">
        <f t="shared" si="4"/>
        <v>176.71458676442586</v>
      </c>
      <c r="I30" s="4">
        <f t="shared" si="5"/>
        <v>2.9452431127404308</v>
      </c>
      <c r="J30" s="4">
        <f t="shared" si="6"/>
        <v>4.9087385212340517E-2</v>
      </c>
      <c r="K30" s="7">
        <f t="shared" si="7"/>
        <v>4.2411500823462207</v>
      </c>
    </row>
    <row r="31" spans="1:11" hidden="1" x14ac:dyDescent="0.25">
      <c r="B31" s="65">
        <v>300</v>
      </c>
      <c r="C31" s="65">
        <f t="shared" si="8"/>
        <v>300</v>
      </c>
      <c r="D31" s="2">
        <f t="shared" si="0"/>
        <v>7.0685834705770348E-2</v>
      </c>
      <c r="E31" s="3">
        <f t="shared" si="1"/>
        <v>70.685834705770347</v>
      </c>
      <c r="F31" s="3">
        <f t="shared" si="2"/>
        <v>4241.1500823462211</v>
      </c>
      <c r="G31" s="3">
        <f t="shared" si="3"/>
        <v>254469.00494077327</v>
      </c>
      <c r="H31" s="4">
        <f t="shared" si="4"/>
        <v>254.46900494077326</v>
      </c>
      <c r="I31" s="4">
        <f t="shared" si="5"/>
        <v>4.2411500823462207</v>
      </c>
      <c r="J31" s="4">
        <f t="shared" si="6"/>
        <v>7.0685834705770348E-2</v>
      </c>
      <c r="K31" s="7">
        <f t="shared" si="7"/>
        <v>6.107256118578559</v>
      </c>
    </row>
    <row r="32" spans="1:11" hidden="1" x14ac:dyDescent="0.25">
      <c r="B32" s="65">
        <v>350</v>
      </c>
      <c r="C32" s="65">
        <f t="shared" si="8"/>
        <v>350</v>
      </c>
      <c r="D32" s="2">
        <f t="shared" si="0"/>
        <v>9.6211275016187398E-2</v>
      </c>
      <c r="E32" s="3">
        <f t="shared" si="1"/>
        <v>96.2112750161874</v>
      </c>
      <c r="F32" s="3">
        <f t="shared" si="2"/>
        <v>5772.6765009712435</v>
      </c>
      <c r="G32" s="3">
        <f t="shared" si="3"/>
        <v>346360.59005827463</v>
      </c>
      <c r="H32" s="4">
        <f t="shared" si="4"/>
        <v>346.36059005827462</v>
      </c>
      <c r="I32" s="4">
        <f t="shared" si="5"/>
        <v>5.7726765009712437</v>
      </c>
      <c r="J32" s="4">
        <f t="shared" si="6"/>
        <v>9.6211275016187398E-2</v>
      </c>
      <c r="K32" s="7">
        <f t="shared" si="7"/>
        <v>8.3126541613985907</v>
      </c>
    </row>
    <row r="33" spans="1:11" hidden="1" x14ac:dyDescent="0.25">
      <c r="B33" s="65">
        <v>400</v>
      </c>
      <c r="C33" s="65">
        <f t="shared" si="8"/>
        <v>400</v>
      </c>
      <c r="D33" s="2">
        <f t="shared" si="0"/>
        <v>0.12566370614359174</v>
      </c>
      <c r="E33" s="3">
        <f t="shared" si="1"/>
        <v>125.66370614359174</v>
      </c>
      <c r="F33" s="3">
        <f t="shared" si="2"/>
        <v>7539.8223686155043</v>
      </c>
      <c r="G33" s="3">
        <f t="shared" si="3"/>
        <v>452389.34211693029</v>
      </c>
      <c r="H33" s="4">
        <f t="shared" si="4"/>
        <v>452.38934211693027</v>
      </c>
      <c r="I33" s="4">
        <f t="shared" si="5"/>
        <v>7.5398223686155044</v>
      </c>
      <c r="J33" s="4">
        <f t="shared" si="6"/>
        <v>0.12566370614359174</v>
      </c>
      <c r="K33" s="7">
        <f t="shared" si="7"/>
        <v>10.857344210806327</v>
      </c>
    </row>
    <row r="34" spans="1:11" hidden="1" x14ac:dyDescent="0.25">
      <c r="B34" s="2">
        <v>500</v>
      </c>
      <c r="C34" s="65">
        <v>500</v>
      </c>
      <c r="D34" s="2">
        <f t="shared" ref="D34:D45" si="9">(PI()*((C34/1000)^2))/4</f>
        <v>0.19634954084936207</v>
      </c>
      <c r="E34" s="3">
        <f t="shared" ref="E34:E45" si="10">D34*1000</f>
        <v>196.34954084936206</v>
      </c>
      <c r="F34" s="3">
        <f t="shared" ref="F34:F45" si="11">D34*60*1000</f>
        <v>11780.972450961723</v>
      </c>
      <c r="G34" s="3">
        <f t="shared" ref="G34:G45" si="12">D34*3600*1000</f>
        <v>706858.34705770342</v>
      </c>
      <c r="H34" s="4">
        <f t="shared" ref="H34:H45" si="13">D34*3600</f>
        <v>706.85834705770344</v>
      </c>
      <c r="I34" s="4">
        <f t="shared" ref="I34:I45" si="14">D34*60</f>
        <v>11.780972450961723</v>
      </c>
      <c r="J34" s="4">
        <f t="shared" ref="J34:J45" si="15">D34</f>
        <v>0.19634954084936207</v>
      </c>
      <c r="K34" s="7">
        <f t="shared" ref="K34:K45" si="16">D34*24*3.6</f>
        <v>16.964600329384883</v>
      </c>
    </row>
    <row r="35" spans="1:11" hidden="1" x14ac:dyDescent="0.25">
      <c r="B35" s="2">
        <v>600</v>
      </c>
      <c r="C35" s="65">
        <v>600</v>
      </c>
      <c r="D35" s="2">
        <f t="shared" si="9"/>
        <v>0.28274333882308139</v>
      </c>
      <c r="E35" s="3">
        <f t="shared" si="10"/>
        <v>282.74333882308139</v>
      </c>
      <c r="F35" s="3">
        <f t="shared" si="11"/>
        <v>16964.600329384884</v>
      </c>
      <c r="G35" s="3">
        <f t="shared" si="12"/>
        <v>1017876.0197630931</v>
      </c>
      <c r="H35" s="4">
        <f t="shared" si="13"/>
        <v>1017.876019763093</v>
      </c>
      <c r="I35" s="4">
        <f t="shared" si="14"/>
        <v>16.964600329384883</v>
      </c>
      <c r="J35" s="4">
        <f t="shared" si="15"/>
        <v>0.28274333882308139</v>
      </c>
      <c r="K35" s="7">
        <f t="shared" si="16"/>
        <v>24.429024474314236</v>
      </c>
    </row>
    <row r="36" spans="1:11" hidden="1" x14ac:dyDescent="0.25">
      <c r="B36" s="2">
        <v>700</v>
      </c>
      <c r="C36" s="65">
        <v>700</v>
      </c>
      <c r="D36" s="2">
        <f t="shared" si="9"/>
        <v>0.38484510006474959</v>
      </c>
      <c r="E36" s="3">
        <f t="shared" si="10"/>
        <v>384.8451000647496</v>
      </c>
      <c r="F36" s="3">
        <f t="shared" si="11"/>
        <v>23090.706003884974</v>
      </c>
      <c r="G36" s="3">
        <f t="shared" si="12"/>
        <v>1385442.3602330985</v>
      </c>
      <c r="H36" s="4">
        <f t="shared" si="13"/>
        <v>1385.4423602330985</v>
      </c>
      <c r="I36" s="4">
        <f t="shared" si="14"/>
        <v>23.090706003884975</v>
      </c>
      <c r="J36" s="4">
        <f t="shared" si="15"/>
        <v>0.38484510006474959</v>
      </c>
      <c r="K36" s="7">
        <f t="shared" si="16"/>
        <v>33.250616645594363</v>
      </c>
    </row>
    <row r="37" spans="1:11" hidden="1" x14ac:dyDescent="0.25">
      <c r="B37" s="2">
        <v>800</v>
      </c>
      <c r="C37" s="65">
        <v>800</v>
      </c>
      <c r="D37" s="2">
        <f t="shared" si="9"/>
        <v>0.50265482457436694</v>
      </c>
      <c r="E37" s="3">
        <f t="shared" si="10"/>
        <v>502.65482457436696</v>
      </c>
      <c r="F37" s="3">
        <f t="shared" si="11"/>
        <v>30159.289474462017</v>
      </c>
      <c r="G37" s="3">
        <f t="shared" si="12"/>
        <v>1809557.3684677212</v>
      </c>
      <c r="H37" s="4">
        <f t="shared" si="13"/>
        <v>1809.5573684677211</v>
      </c>
      <c r="I37" s="4">
        <f t="shared" si="14"/>
        <v>30.159289474462017</v>
      </c>
      <c r="J37" s="4">
        <f t="shared" si="15"/>
        <v>0.50265482457436694</v>
      </c>
      <c r="K37" s="7">
        <f t="shared" si="16"/>
        <v>43.429376843225306</v>
      </c>
    </row>
    <row r="38" spans="1:11" hidden="1" x14ac:dyDescent="0.25">
      <c r="B38" s="2">
        <v>900</v>
      </c>
      <c r="C38" s="65">
        <v>900</v>
      </c>
      <c r="D38" s="2">
        <f t="shared" si="9"/>
        <v>0.63617251235193317</v>
      </c>
      <c r="E38" s="3">
        <f t="shared" si="10"/>
        <v>636.17251235193316</v>
      </c>
      <c r="F38" s="3">
        <f t="shared" si="11"/>
        <v>38170.350741115988</v>
      </c>
      <c r="G38" s="3">
        <f t="shared" si="12"/>
        <v>2290221.0444669593</v>
      </c>
      <c r="H38" s="4">
        <f t="shared" si="13"/>
        <v>2290.2210444669595</v>
      </c>
      <c r="I38" s="4">
        <f t="shared" si="14"/>
        <v>38.170350741115989</v>
      </c>
      <c r="J38" s="4">
        <f t="shared" si="15"/>
        <v>0.63617251235193317</v>
      </c>
      <c r="K38" s="7">
        <f t="shared" si="16"/>
        <v>54.965305067207034</v>
      </c>
    </row>
    <row r="39" spans="1:11" hidden="1" x14ac:dyDescent="0.25">
      <c r="B39" s="2">
        <v>1000</v>
      </c>
      <c r="C39" s="65">
        <v>1000</v>
      </c>
      <c r="D39" s="2">
        <f t="shared" si="9"/>
        <v>0.78539816339744828</v>
      </c>
      <c r="E39" s="3">
        <f t="shared" si="10"/>
        <v>785.39816339744823</v>
      </c>
      <c r="F39" s="3">
        <f t="shared" si="11"/>
        <v>47123.889803846891</v>
      </c>
      <c r="G39" s="3">
        <f t="shared" si="12"/>
        <v>2827433.3882308137</v>
      </c>
      <c r="H39" s="4">
        <f t="shared" si="13"/>
        <v>2827.4333882308138</v>
      </c>
      <c r="I39" s="4">
        <f t="shared" si="14"/>
        <v>47.123889803846893</v>
      </c>
      <c r="J39" s="4">
        <f t="shared" si="15"/>
        <v>0.78539816339744828</v>
      </c>
      <c r="K39" s="7">
        <f t="shared" si="16"/>
        <v>67.858401317539531</v>
      </c>
    </row>
    <row r="40" spans="1:11" hidden="1" x14ac:dyDescent="0.25">
      <c r="B40" s="2">
        <v>1200</v>
      </c>
      <c r="C40" s="65">
        <v>1200</v>
      </c>
      <c r="D40" s="2">
        <f t="shared" si="9"/>
        <v>1.1309733552923256</v>
      </c>
      <c r="E40" s="3">
        <f t="shared" si="10"/>
        <v>1130.9733552923256</v>
      </c>
      <c r="F40" s="3">
        <f t="shared" si="11"/>
        <v>67858.401317539538</v>
      </c>
      <c r="G40" s="3">
        <f t="shared" si="12"/>
        <v>4071504.0790523724</v>
      </c>
      <c r="H40" s="4">
        <f t="shared" si="13"/>
        <v>4071.5040790523722</v>
      </c>
      <c r="I40" s="4">
        <f t="shared" si="14"/>
        <v>67.858401317539531</v>
      </c>
      <c r="J40" s="4">
        <f t="shared" si="15"/>
        <v>1.1309733552923256</v>
      </c>
      <c r="K40" s="7">
        <f t="shared" si="16"/>
        <v>97.716097897256944</v>
      </c>
    </row>
    <row r="41" spans="1:11" hidden="1" x14ac:dyDescent="0.25">
      <c r="B41" s="2">
        <v>1350</v>
      </c>
      <c r="C41" s="65">
        <v>1350</v>
      </c>
      <c r="D41" s="2">
        <f t="shared" si="9"/>
        <v>1.4313881527918497</v>
      </c>
      <c r="E41" s="3">
        <f t="shared" si="10"/>
        <v>1431.3881527918497</v>
      </c>
      <c r="F41" s="3">
        <f t="shared" si="11"/>
        <v>85883.289167510986</v>
      </c>
      <c r="G41" s="3">
        <f t="shared" si="12"/>
        <v>5152997.3500506599</v>
      </c>
      <c r="H41" s="4">
        <f t="shared" si="13"/>
        <v>5152.9973500506594</v>
      </c>
      <c r="I41" s="4">
        <f t="shared" si="14"/>
        <v>85.883289167510981</v>
      </c>
      <c r="J41" s="4">
        <f t="shared" si="15"/>
        <v>1.4313881527918497</v>
      </c>
      <c r="K41" s="7">
        <f t="shared" si="16"/>
        <v>123.67193640121583</v>
      </c>
    </row>
    <row r="42" spans="1:11" hidden="1" x14ac:dyDescent="0.25">
      <c r="B42" s="2">
        <v>1400</v>
      </c>
      <c r="C42" s="65">
        <v>1400</v>
      </c>
      <c r="D42" s="2">
        <f t="shared" si="9"/>
        <v>1.5393804002589984</v>
      </c>
      <c r="E42" s="3">
        <f t="shared" si="10"/>
        <v>1539.3804002589984</v>
      </c>
      <c r="F42" s="3">
        <f t="shared" si="11"/>
        <v>92362.824015539896</v>
      </c>
      <c r="G42" s="3">
        <f t="shared" si="12"/>
        <v>5541769.440932394</v>
      </c>
      <c r="H42" s="4">
        <f t="shared" si="13"/>
        <v>5541.769440932394</v>
      </c>
      <c r="I42" s="4">
        <f t="shared" si="14"/>
        <v>92.3628240155399</v>
      </c>
      <c r="J42" s="4">
        <f t="shared" si="15"/>
        <v>1.5393804002589984</v>
      </c>
      <c r="K42" s="7">
        <f t="shared" si="16"/>
        <v>133.00246658237745</v>
      </c>
    </row>
    <row r="43" spans="1:11" hidden="1" x14ac:dyDescent="0.25">
      <c r="B43" s="2">
        <v>1500</v>
      </c>
      <c r="C43" s="65">
        <v>1500</v>
      </c>
      <c r="D43" s="2">
        <f t="shared" si="9"/>
        <v>1.7671458676442586</v>
      </c>
      <c r="E43" s="3">
        <f t="shared" si="10"/>
        <v>1767.1458676442587</v>
      </c>
      <c r="F43" s="3">
        <f t="shared" si="11"/>
        <v>106028.75205865552</v>
      </c>
      <c r="G43" s="3">
        <f t="shared" si="12"/>
        <v>6361725.1235193303</v>
      </c>
      <c r="H43" s="4">
        <f t="shared" si="13"/>
        <v>6361.7251235193307</v>
      </c>
      <c r="I43" s="4">
        <f t="shared" si="14"/>
        <v>106.02875205865551</v>
      </c>
      <c r="J43" s="4">
        <f t="shared" si="15"/>
        <v>1.7671458676442586</v>
      </c>
      <c r="K43" s="7">
        <f t="shared" si="16"/>
        <v>152.68140296446396</v>
      </c>
    </row>
    <row r="44" spans="1:11" hidden="1" x14ac:dyDescent="0.25">
      <c r="B44" s="2">
        <v>1600</v>
      </c>
      <c r="C44" s="65">
        <v>1600</v>
      </c>
      <c r="D44" s="2">
        <f t="shared" si="9"/>
        <v>2.0106192982974678</v>
      </c>
      <c r="E44" s="3">
        <f t="shared" si="10"/>
        <v>2010.6192982974678</v>
      </c>
      <c r="F44" s="3">
        <f t="shared" si="11"/>
        <v>120637.15789784807</v>
      </c>
      <c r="G44" s="3">
        <f t="shared" si="12"/>
        <v>7238229.4738708846</v>
      </c>
      <c r="H44" s="4">
        <f t="shared" si="13"/>
        <v>7238.2294738708842</v>
      </c>
      <c r="I44" s="4">
        <f t="shared" si="14"/>
        <v>120.63715789784807</v>
      </c>
      <c r="J44" s="4">
        <f t="shared" si="15"/>
        <v>2.0106192982974678</v>
      </c>
      <c r="K44" s="7">
        <f t="shared" si="16"/>
        <v>173.71750737290122</v>
      </c>
    </row>
    <row r="45" spans="1:11" hidden="1" x14ac:dyDescent="0.25">
      <c r="B45" s="2">
        <v>1800</v>
      </c>
      <c r="C45" s="65">
        <v>1800</v>
      </c>
      <c r="D45" s="2">
        <f t="shared" si="9"/>
        <v>2.5446900494077327</v>
      </c>
      <c r="E45" s="3">
        <f t="shared" si="10"/>
        <v>2544.6900494077327</v>
      </c>
      <c r="F45" s="3">
        <f t="shared" si="11"/>
        <v>152681.40296446395</v>
      </c>
      <c r="G45" s="3">
        <f t="shared" si="12"/>
        <v>9160884.1778678373</v>
      </c>
      <c r="H45" s="4">
        <f t="shared" si="13"/>
        <v>9160.8841778678379</v>
      </c>
      <c r="I45" s="4">
        <f t="shared" si="14"/>
        <v>152.68140296446396</v>
      </c>
      <c r="J45" s="4">
        <f t="shared" si="15"/>
        <v>2.5446900494077327</v>
      </c>
      <c r="K45" s="7">
        <f t="shared" si="16"/>
        <v>219.86122026882813</v>
      </c>
    </row>
    <row r="46" spans="1:11" hidden="1" x14ac:dyDescent="0.25"/>
    <row r="47" spans="1:11" hidden="1" x14ac:dyDescent="0.25">
      <c r="A47" t="s">
        <v>110</v>
      </c>
      <c r="B47" t="s">
        <v>21</v>
      </c>
      <c r="C47" t="s">
        <v>49</v>
      </c>
      <c r="E47" s="10"/>
    </row>
    <row r="48" spans="1:11" hidden="1" x14ac:dyDescent="0.25">
      <c r="A48" t="s">
        <v>111</v>
      </c>
      <c r="B48" t="s">
        <v>38</v>
      </c>
      <c r="C48" t="s">
        <v>50</v>
      </c>
    </row>
    <row r="49" spans="1:4" hidden="1" x14ac:dyDescent="0.25">
      <c r="A49" t="s">
        <v>143</v>
      </c>
      <c r="B49" t="s">
        <v>119</v>
      </c>
      <c r="C49" t="s">
        <v>53</v>
      </c>
    </row>
    <row r="50" spans="1:4" hidden="1" x14ac:dyDescent="0.25">
      <c r="C50" t="s">
        <v>39</v>
      </c>
    </row>
    <row r="51" spans="1:4" hidden="1" x14ac:dyDescent="0.25"/>
    <row r="52" spans="1:4" ht="15.75" hidden="1" thickBot="1" x14ac:dyDescent="0.3"/>
    <row r="53" spans="1:4" ht="15.75" hidden="1" thickBot="1" x14ac:dyDescent="0.3">
      <c r="A53" s="75" t="s">
        <v>52</v>
      </c>
      <c r="B53" s="76" t="s">
        <v>21</v>
      </c>
      <c r="C53" s="77" t="s">
        <v>38</v>
      </c>
      <c r="D53" s="117" t="s">
        <v>119</v>
      </c>
    </row>
    <row r="54" spans="1:4" hidden="1" x14ac:dyDescent="0.25">
      <c r="A54" s="98">
        <v>25</v>
      </c>
      <c r="B54" s="100" t="s">
        <v>58</v>
      </c>
      <c r="C54" s="101" t="s">
        <v>72</v>
      </c>
      <c r="D54" s="89" t="s">
        <v>127</v>
      </c>
    </row>
    <row r="55" spans="1:4" hidden="1" x14ac:dyDescent="0.25">
      <c r="A55" s="98">
        <v>32</v>
      </c>
      <c r="B55" s="100" t="s">
        <v>59</v>
      </c>
      <c r="C55" s="101" t="s">
        <v>73</v>
      </c>
      <c r="D55" s="89" t="s">
        <v>128</v>
      </c>
    </row>
    <row r="56" spans="1:4" hidden="1" x14ac:dyDescent="0.25">
      <c r="A56" s="98">
        <v>40</v>
      </c>
      <c r="B56" s="100" t="s">
        <v>60</v>
      </c>
      <c r="C56" s="101" t="s">
        <v>74</v>
      </c>
      <c r="D56" s="89" t="s">
        <v>129</v>
      </c>
    </row>
    <row r="57" spans="1:4" hidden="1" x14ac:dyDescent="0.25">
      <c r="A57" s="98">
        <v>50</v>
      </c>
      <c r="B57" s="100" t="s">
        <v>61</v>
      </c>
      <c r="C57" s="101" t="s">
        <v>75</v>
      </c>
      <c r="D57" s="89" t="s">
        <v>130</v>
      </c>
    </row>
    <row r="58" spans="1:4" hidden="1" x14ac:dyDescent="0.25">
      <c r="A58" s="98">
        <v>65</v>
      </c>
      <c r="B58" s="100" t="s">
        <v>62</v>
      </c>
      <c r="C58" s="101" t="s">
        <v>76</v>
      </c>
      <c r="D58" s="89" t="s">
        <v>131</v>
      </c>
    </row>
    <row r="59" spans="1:4" hidden="1" x14ac:dyDescent="0.25">
      <c r="A59" s="98">
        <v>80</v>
      </c>
      <c r="B59" s="100" t="s">
        <v>63</v>
      </c>
      <c r="C59" s="101" t="s">
        <v>77</v>
      </c>
      <c r="D59" s="89" t="s">
        <v>132</v>
      </c>
    </row>
    <row r="60" spans="1:4" hidden="1" x14ac:dyDescent="0.25">
      <c r="A60" s="98">
        <v>100</v>
      </c>
      <c r="B60" s="100" t="s">
        <v>64</v>
      </c>
      <c r="C60" s="101" t="s">
        <v>78</v>
      </c>
      <c r="D60" s="89" t="s">
        <v>133</v>
      </c>
    </row>
    <row r="61" spans="1:4" hidden="1" x14ac:dyDescent="0.25">
      <c r="A61" s="98">
        <v>125</v>
      </c>
      <c r="B61" s="100" t="s">
        <v>65</v>
      </c>
      <c r="C61" s="101" t="s">
        <v>79</v>
      </c>
      <c r="D61" s="89" t="s">
        <v>134</v>
      </c>
    </row>
    <row r="62" spans="1:4" hidden="1" x14ac:dyDescent="0.25">
      <c r="A62" s="98">
        <v>150</v>
      </c>
      <c r="B62" s="100" t="s">
        <v>66</v>
      </c>
      <c r="C62" s="101" t="s">
        <v>80</v>
      </c>
      <c r="D62" s="89" t="s">
        <v>135</v>
      </c>
    </row>
    <row r="63" spans="1:4" hidden="1" x14ac:dyDescent="0.25">
      <c r="A63" s="98">
        <v>200</v>
      </c>
      <c r="B63" s="100" t="s">
        <v>67</v>
      </c>
      <c r="C63" s="101" t="s">
        <v>81</v>
      </c>
      <c r="D63" s="89" t="s">
        <v>136</v>
      </c>
    </row>
    <row r="64" spans="1:4" hidden="1" x14ac:dyDescent="0.25">
      <c r="A64" s="98">
        <v>250</v>
      </c>
      <c r="B64" s="100" t="s">
        <v>68</v>
      </c>
      <c r="C64" s="101" t="s">
        <v>82</v>
      </c>
      <c r="D64" s="89" t="s">
        <v>137</v>
      </c>
    </row>
    <row r="65" spans="1:4" hidden="1" x14ac:dyDescent="0.25">
      <c r="A65" s="98">
        <v>300</v>
      </c>
      <c r="B65" s="100" t="s">
        <v>69</v>
      </c>
      <c r="C65" s="101" t="s">
        <v>83</v>
      </c>
      <c r="D65" s="89" t="s">
        <v>138</v>
      </c>
    </row>
    <row r="66" spans="1:4" hidden="1" x14ac:dyDescent="0.25">
      <c r="A66" s="98">
        <v>350</v>
      </c>
      <c r="B66" s="100" t="s">
        <v>70</v>
      </c>
      <c r="C66" s="101" t="s">
        <v>84</v>
      </c>
      <c r="D66" s="89" t="s">
        <v>139</v>
      </c>
    </row>
    <row r="67" spans="1:4" hidden="1" x14ac:dyDescent="0.25">
      <c r="A67" s="98">
        <v>400</v>
      </c>
      <c r="B67" s="100" t="s">
        <v>71</v>
      </c>
      <c r="C67" s="101" t="s">
        <v>85</v>
      </c>
      <c r="D67" s="89" t="s">
        <v>140</v>
      </c>
    </row>
    <row r="68" spans="1:4" hidden="1" x14ac:dyDescent="0.25">
      <c r="A68" s="73">
        <v>500</v>
      </c>
      <c r="B68" s="100" t="s">
        <v>86</v>
      </c>
      <c r="C68" s="102" t="s">
        <v>96</v>
      </c>
      <c r="D68" s="118" t="s">
        <v>120</v>
      </c>
    </row>
    <row r="69" spans="1:4" hidden="1" x14ac:dyDescent="0.25">
      <c r="A69" s="73">
        <v>600</v>
      </c>
      <c r="B69" s="100" t="s">
        <v>87</v>
      </c>
      <c r="C69" s="102" t="s">
        <v>97</v>
      </c>
      <c r="D69" s="118" t="s">
        <v>120</v>
      </c>
    </row>
    <row r="70" spans="1:4" hidden="1" x14ac:dyDescent="0.25">
      <c r="A70" s="73">
        <v>700</v>
      </c>
      <c r="B70" s="100" t="s">
        <v>88</v>
      </c>
      <c r="C70" s="102" t="s">
        <v>98</v>
      </c>
      <c r="D70" s="118" t="s">
        <v>120</v>
      </c>
    </row>
    <row r="71" spans="1:4" hidden="1" x14ac:dyDescent="0.25">
      <c r="A71" s="73">
        <v>800</v>
      </c>
      <c r="B71" s="100" t="s">
        <v>89</v>
      </c>
      <c r="C71" s="102" t="s">
        <v>99</v>
      </c>
      <c r="D71" s="118" t="s">
        <v>120</v>
      </c>
    </row>
    <row r="72" spans="1:4" hidden="1" x14ac:dyDescent="0.25">
      <c r="A72" s="73">
        <v>900</v>
      </c>
      <c r="B72" s="100" t="s">
        <v>90</v>
      </c>
      <c r="C72" s="102" t="s">
        <v>100</v>
      </c>
      <c r="D72" s="118" t="s">
        <v>120</v>
      </c>
    </row>
    <row r="73" spans="1:4" hidden="1" x14ac:dyDescent="0.25">
      <c r="A73" s="73">
        <v>1000</v>
      </c>
      <c r="B73" s="100" t="s">
        <v>91</v>
      </c>
      <c r="C73" s="102" t="s">
        <v>101</v>
      </c>
      <c r="D73" s="118" t="s">
        <v>120</v>
      </c>
    </row>
    <row r="74" spans="1:4" hidden="1" x14ac:dyDescent="0.25">
      <c r="A74" s="73">
        <v>1200</v>
      </c>
      <c r="B74" s="100" t="s">
        <v>92</v>
      </c>
      <c r="C74" s="102" t="s">
        <v>102</v>
      </c>
      <c r="D74" s="118" t="s">
        <v>120</v>
      </c>
    </row>
    <row r="75" spans="1:4" hidden="1" x14ac:dyDescent="0.25">
      <c r="A75" s="73">
        <v>1350</v>
      </c>
      <c r="B75" s="100" t="s">
        <v>121</v>
      </c>
      <c r="C75" s="102" t="s">
        <v>123</v>
      </c>
      <c r="D75" s="118" t="s">
        <v>120</v>
      </c>
    </row>
    <row r="76" spans="1:4" hidden="1" x14ac:dyDescent="0.25">
      <c r="A76" s="73">
        <v>1400</v>
      </c>
      <c r="B76" s="100" t="s">
        <v>93</v>
      </c>
      <c r="C76" s="102" t="s">
        <v>103</v>
      </c>
      <c r="D76" s="118" t="s">
        <v>120</v>
      </c>
    </row>
    <row r="77" spans="1:4" hidden="1" x14ac:dyDescent="0.25">
      <c r="A77" s="73">
        <v>1500</v>
      </c>
      <c r="B77" s="100" t="s">
        <v>122</v>
      </c>
      <c r="C77" s="102" t="s">
        <v>124</v>
      </c>
      <c r="D77" s="118" t="s">
        <v>120</v>
      </c>
    </row>
    <row r="78" spans="1:4" hidden="1" x14ac:dyDescent="0.25">
      <c r="A78" s="73">
        <v>1600</v>
      </c>
      <c r="B78" s="100" t="s">
        <v>94</v>
      </c>
      <c r="C78" s="102" t="s">
        <v>104</v>
      </c>
      <c r="D78" s="118" t="s">
        <v>120</v>
      </c>
    </row>
    <row r="79" spans="1:4" ht="15.75" hidden="1" thickBot="1" x14ac:dyDescent="0.3">
      <c r="A79" s="74">
        <v>1800</v>
      </c>
      <c r="B79" s="103" t="s">
        <v>95</v>
      </c>
      <c r="C79" s="104" t="s">
        <v>105</v>
      </c>
      <c r="D79" s="119" t="s">
        <v>120</v>
      </c>
    </row>
    <row r="80" spans="1:4" hidden="1" x14ac:dyDescent="0.25">
      <c r="A80" s="87" t="s">
        <v>52</v>
      </c>
    </row>
    <row r="81" spans="1:2" hidden="1" x14ac:dyDescent="0.25">
      <c r="A81" s="78" t="str">
        <f>IF(B8="General Purpose",VLOOKUP(size,A54:D79,2,FALSE),IF(B8="Submersible",VLOOKUP(size,A54:D79,3,FALSE),IF(B8="Explosion Proof",VLOOKUP(size,A54:D79,4,FALSE),"")))</f>
        <v>AXW050-G</v>
      </c>
    </row>
    <row r="82" spans="1:2" hidden="1" x14ac:dyDescent="0.25"/>
    <row r="83" spans="1:2" ht="15.75" hidden="1" thickBot="1" x14ac:dyDescent="0.3"/>
    <row r="84" spans="1:2" ht="15.75" hidden="1" thickBot="1" x14ac:dyDescent="0.3">
      <c r="A84" s="75" t="s">
        <v>52</v>
      </c>
      <c r="B84" s="88" t="s">
        <v>43</v>
      </c>
    </row>
    <row r="85" spans="1:2" hidden="1" x14ac:dyDescent="0.25">
      <c r="A85" s="98">
        <v>25</v>
      </c>
      <c r="B85" s="97">
        <v>17.671399999999998</v>
      </c>
    </row>
    <row r="86" spans="1:2" hidden="1" x14ac:dyDescent="0.25">
      <c r="A86" s="98">
        <v>32</v>
      </c>
      <c r="B86" s="97">
        <v>28.9529</v>
      </c>
    </row>
    <row r="87" spans="1:2" hidden="1" x14ac:dyDescent="0.25">
      <c r="A87" s="98">
        <v>40</v>
      </c>
      <c r="B87" s="97">
        <v>45.238900000000001</v>
      </c>
    </row>
    <row r="88" spans="1:2" hidden="1" x14ac:dyDescent="0.25">
      <c r="A88" s="98">
        <v>50</v>
      </c>
      <c r="B88" s="97">
        <v>70.6858</v>
      </c>
    </row>
    <row r="89" spans="1:2" hidden="1" x14ac:dyDescent="0.25">
      <c r="A89" s="98">
        <v>65</v>
      </c>
      <c r="B89" s="97">
        <v>119.459</v>
      </c>
    </row>
    <row r="90" spans="1:2" hidden="1" x14ac:dyDescent="0.25">
      <c r="A90" s="98">
        <v>80</v>
      </c>
      <c r="B90" s="97">
        <v>180.95500000000001</v>
      </c>
    </row>
    <row r="91" spans="1:2" hidden="1" x14ac:dyDescent="0.25">
      <c r="A91" s="98">
        <v>100</v>
      </c>
      <c r="B91" s="97">
        <v>282.74299999999999</v>
      </c>
    </row>
    <row r="92" spans="1:2" hidden="1" x14ac:dyDescent="0.25">
      <c r="A92" s="98">
        <v>125</v>
      </c>
      <c r="B92" s="97">
        <v>441.786</v>
      </c>
    </row>
    <row r="93" spans="1:2" hidden="1" x14ac:dyDescent="0.25">
      <c r="A93" s="98">
        <v>150</v>
      </c>
      <c r="B93" s="97">
        <v>636.17200000000003</v>
      </c>
    </row>
    <row r="94" spans="1:2" hidden="1" x14ac:dyDescent="0.25">
      <c r="A94" s="98">
        <v>200</v>
      </c>
      <c r="B94" s="97">
        <v>1130.97</v>
      </c>
    </row>
    <row r="95" spans="1:2" hidden="1" x14ac:dyDescent="0.25">
      <c r="A95" s="98">
        <v>250</v>
      </c>
      <c r="B95" s="97">
        <v>1767.14</v>
      </c>
    </row>
    <row r="96" spans="1:2" hidden="1" x14ac:dyDescent="0.25">
      <c r="A96" s="98">
        <v>300</v>
      </c>
      <c r="B96" s="97">
        <v>2544.69</v>
      </c>
    </row>
    <row r="97" spans="1:3" hidden="1" x14ac:dyDescent="0.25">
      <c r="A97" s="98">
        <v>350</v>
      </c>
      <c r="B97" s="97">
        <v>3463.6</v>
      </c>
    </row>
    <row r="98" spans="1:3" hidden="1" x14ac:dyDescent="0.25">
      <c r="A98" s="98">
        <v>400</v>
      </c>
      <c r="B98" s="97">
        <v>4523.8900000000003</v>
      </c>
    </row>
    <row r="99" spans="1:3" hidden="1" x14ac:dyDescent="0.25">
      <c r="A99" s="73">
        <v>500</v>
      </c>
      <c r="B99" s="32">
        <v>7068.58</v>
      </c>
    </row>
    <row r="100" spans="1:3" hidden="1" x14ac:dyDescent="0.25">
      <c r="A100" s="73">
        <v>600</v>
      </c>
      <c r="B100" s="82">
        <v>10178.700000000001</v>
      </c>
      <c r="C100" s="8"/>
    </row>
    <row r="101" spans="1:3" hidden="1" x14ac:dyDescent="0.25">
      <c r="A101" s="73">
        <v>700</v>
      </c>
      <c r="B101" s="32">
        <v>13854.4</v>
      </c>
    </row>
    <row r="102" spans="1:3" hidden="1" x14ac:dyDescent="0.25">
      <c r="A102" s="73">
        <v>800</v>
      </c>
      <c r="B102" s="32">
        <v>18095.5</v>
      </c>
    </row>
    <row r="103" spans="1:3" hidden="1" x14ac:dyDescent="0.25">
      <c r="A103" s="73">
        <v>900</v>
      </c>
      <c r="B103" s="32">
        <v>22902.2</v>
      </c>
    </row>
    <row r="104" spans="1:3" hidden="1" x14ac:dyDescent="0.25">
      <c r="A104" s="73">
        <v>1000</v>
      </c>
      <c r="B104" s="32">
        <v>28274.3</v>
      </c>
    </row>
    <row r="105" spans="1:3" hidden="1" x14ac:dyDescent="0.25">
      <c r="A105" s="73">
        <v>1200</v>
      </c>
      <c r="B105" s="95">
        <v>40715</v>
      </c>
    </row>
    <row r="106" spans="1:3" hidden="1" x14ac:dyDescent="0.25">
      <c r="A106" s="73">
        <v>1400</v>
      </c>
      <c r="B106" s="95">
        <v>55418</v>
      </c>
    </row>
    <row r="107" spans="1:3" hidden="1" x14ac:dyDescent="0.25">
      <c r="A107" s="73">
        <v>1600</v>
      </c>
      <c r="B107" s="95">
        <v>72382</v>
      </c>
    </row>
    <row r="108" spans="1:3" ht="15.75" hidden="1" thickBot="1" x14ac:dyDescent="0.3">
      <c r="A108" s="74">
        <v>1800</v>
      </c>
      <c r="B108" s="99">
        <v>91608</v>
      </c>
    </row>
    <row r="109" spans="1:3" hidden="1" x14ac:dyDescent="0.25">
      <c r="A109" s="94"/>
      <c r="B109" s="25"/>
    </row>
    <row r="110" spans="1:3" hidden="1" x14ac:dyDescent="0.25"/>
    <row r="111" spans="1:3" hidden="1" x14ac:dyDescent="0.25">
      <c r="A111" t="s">
        <v>44</v>
      </c>
    </row>
    <row r="112" spans="1:3" hidden="1" x14ac:dyDescent="0.25">
      <c r="A112" t="s">
        <v>45</v>
      </c>
    </row>
    <row r="113" spans="1:2" hidden="1" x14ac:dyDescent="0.25">
      <c r="A113" t="s">
        <v>46</v>
      </c>
    </row>
    <row r="114" spans="1:2" hidden="1" x14ac:dyDescent="0.25">
      <c r="A114" s="96" t="s">
        <v>56</v>
      </c>
    </row>
    <row r="115" spans="1:2" hidden="1" x14ac:dyDescent="0.25">
      <c r="A115" t="s">
        <v>125</v>
      </c>
      <c r="B115" t="s">
        <v>57</v>
      </c>
    </row>
    <row r="116" spans="1:2" hidden="1" x14ac:dyDescent="0.25">
      <c r="A116" t="s">
        <v>126</v>
      </c>
    </row>
    <row r="117" spans="1:2" hidden="1" x14ac:dyDescent="0.25">
      <c r="A117" t="s">
        <v>141</v>
      </c>
      <c r="B117" t="s">
        <v>142</v>
      </c>
    </row>
    <row r="118" spans="1:2" hidden="1" x14ac:dyDescent="0.25"/>
    <row r="119" spans="1:2" hidden="1" x14ac:dyDescent="0.25"/>
    <row r="120" spans="1:2" hidden="1" x14ac:dyDescent="0.25"/>
    <row r="130" spans="1:1" x14ac:dyDescent="0.25">
      <c r="A130" s="128" t="s">
        <v>144</v>
      </c>
    </row>
    <row r="131" spans="1:1" x14ac:dyDescent="0.25">
      <c r="A131" s="128" t="s">
        <v>145</v>
      </c>
    </row>
  </sheetData>
  <sheetProtection password="C795" sheet="1" objects="1" scenarios="1" selectLockedCells="1"/>
  <protectedRanges>
    <protectedRange sqref="B11:B12 C11 B3:C10" name="Range1"/>
    <protectedRange sqref="C12" name="Range2"/>
  </protectedRanges>
  <phoneticPr fontId="4" type="noConversion"/>
  <dataValidations count="6">
    <dataValidation type="list" allowBlank="1" showInputMessage="1" showErrorMessage="1" sqref="C12" xr:uid="{00000000-0002-0000-0000-000000000000}">
      <formula1>$E$19:$K$19</formula1>
    </dataValidation>
    <dataValidation type="custom" allowBlank="1" showInputMessage="1" showErrorMessage="1" sqref="B6" xr:uid="{00000000-0002-0000-0000-000001000000}">
      <formula1>A81</formula1>
    </dataValidation>
    <dataValidation type="list" allowBlank="1" showInputMessage="1" showErrorMessage="1" sqref="B8" xr:uid="{00000000-0002-0000-0000-000002000000}">
      <formula1>$B$47:$B$49</formula1>
    </dataValidation>
    <dataValidation type="list" allowBlank="1" showInputMessage="1" showErrorMessage="1" sqref="B9" xr:uid="{00000000-0002-0000-0000-000003000000}">
      <formula1>$C$47:$C$50</formula1>
    </dataValidation>
    <dataValidation type="list" allowBlank="1" showInputMessage="1" showErrorMessage="1" sqref="B11" xr:uid="{00000000-0002-0000-0000-000004000000}">
      <formula1>$B$20:$B$45</formula1>
    </dataValidation>
    <dataValidation type="list" allowBlank="1" showInputMessage="1" showErrorMessage="1" sqref="B10" xr:uid="{00000000-0002-0000-0000-000005000000}">
      <formula1>$A$47:$A$49</formula1>
    </dataValidation>
  </dataValidations>
  <pageMargins left="0.75" right="0.75" top="1" bottom="1" header="0.5" footer="0.5"/>
  <pageSetup paperSize="9" scale="97" orientation="portrait" r:id="rId1"/>
  <headerFooter alignWithMargins="0">
    <oddFooter>&amp;CYokogawa Australia Pty Ltd</oddFooter>
  </headerFooter>
  <colBreaks count="1" manualBreakCount="1">
    <brk id="3" max="1048575" man="1"/>
  </colBreaks>
  <ignoredErrors>
    <ignoredError sqref="B6" evalErro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51"/>
  <sheetViews>
    <sheetView zoomScaleNormal="100" workbookViewId="0">
      <selection activeCell="C6" sqref="C6"/>
    </sheetView>
  </sheetViews>
  <sheetFormatPr defaultRowHeight="15" x14ac:dyDescent="0.25"/>
  <cols>
    <col min="1" max="1" width="3" customWidth="1"/>
    <col min="2" max="2" width="13" customWidth="1"/>
    <col min="3" max="3" width="10" customWidth="1"/>
    <col min="7" max="7" width="13.42578125" customWidth="1"/>
    <col min="8" max="8" width="11.140625" bestFit="1" customWidth="1"/>
    <col min="9" max="9" width="17" customWidth="1"/>
  </cols>
  <sheetData>
    <row r="1" spans="2:10" x14ac:dyDescent="0.25">
      <c r="B1" s="29"/>
      <c r="C1" s="30"/>
      <c r="D1" s="30"/>
      <c r="E1" s="30"/>
      <c r="F1" s="30"/>
      <c r="G1" s="30"/>
      <c r="H1" s="30"/>
      <c r="I1" s="31"/>
    </row>
    <row r="2" spans="2:10" x14ac:dyDescent="0.25">
      <c r="B2" s="43" t="s">
        <v>51</v>
      </c>
      <c r="C2" s="25"/>
      <c r="D2" s="25"/>
      <c r="E2" s="25"/>
      <c r="F2" s="25"/>
      <c r="G2" s="25"/>
      <c r="H2" s="25"/>
      <c r="I2" s="32"/>
    </row>
    <row r="3" spans="2:10" x14ac:dyDescent="0.25">
      <c r="B3" s="33"/>
      <c r="C3" s="25"/>
      <c r="D3" s="25"/>
      <c r="E3" s="25"/>
      <c r="F3" s="25"/>
      <c r="G3" s="25"/>
      <c r="H3" s="25"/>
      <c r="I3" s="32"/>
    </row>
    <row r="4" spans="2:10" x14ac:dyDescent="0.25">
      <c r="B4" s="33" t="s">
        <v>29</v>
      </c>
      <c r="C4" s="123" t="str">
        <f>IF('Data entry'!B3="","",'Data entry'!B3)</f>
        <v/>
      </c>
      <c r="D4" s="123"/>
      <c r="E4" s="123"/>
      <c r="F4" s="123"/>
      <c r="G4" s="123"/>
      <c r="H4" s="25"/>
      <c r="I4" s="64"/>
      <c r="J4" s="23"/>
    </row>
    <row r="5" spans="2:10" x14ac:dyDescent="0.25">
      <c r="B5" s="33" t="s">
        <v>34</v>
      </c>
      <c r="C5" s="123" t="str">
        <f>IF('Data entry'!B5="","",'Data entry'!B5)</f>
        <v/>
      </c>
      <c r="D5" s="123"/>
      <c r="E5" s="123"/>
      <c r="F5" s="123"/>
      <c r="G5" s="123"/>
      <c r="H5" s="25"/>
      <c r="I5" s="32"/>
      <c r="J5" s="23"/>
    </row>
    <row r="6" spans="2:10" ht="18" x14ac:dyDescent="0.25">
      <c r="B6" s="33"/>
      <c r="C6" s="25"/>
      <c r="D6" s="25"/>
      <c r="E6" s="25"/>
      <c r="F6" s="25"/>
      <c r="G6" s="25"/>
      <c r="H6" s="62" t="s">
        <v>33</v>
      </c>
      <c r="I6" s="64" t="str">
        <f>IF('Data entry'!B4="","",'Data entry'!B4)</f>
        <v/>
      </c>
    </row>
    <row r="7" spans="2:10" x14ac:dyDescent="0.25">
      <c r="B7" s="33" t="s">
        <v>30</v>
      </c>
      <c r="C7" s="124" t="str">
        <f>CONCATENATE('Data entry'!B6,'Data entry'!B7)</f>
        <v>AXW050-G</v>
      </c>
      <c r="D7" s="124"/>
      <c r="E7" s="124"/>
      <c r="F7" s="124"/>
      <c r="G7" s="124"/>
      <c r="H7" s="124"/>
      <c r="I7" s="125"/>
    </row>
    <row r="8" spans="2:10" ht="15.75" thickBot="1" x14ac:dyDescent="0.3">
      <c r="B8" s="33" t="s">
        <v>31</v>
      </c>
      <c r="C8" s="122" t="str">
        <f>IF('Data entry'!B8="","",'Data entry'!B8)</f>
        <v>General Purpose</v>
      </c>
      <c r="D8" s="122"/>
      <c r="E8" s="122"/>
      <c r="F8" s="37"/>
      <c r="G8" s="25"/>
      <c r="H8" s="25"/>
      <c r="I8" s="32"/>
    </row>
    <row r="9" spans="2:10" ht="15.75" thickBot="1" x14ac:dyDescent="0.3">
      <c r="B9" s="33" t="s">
        <v>42</v>
      </c>
      <c r="C9" s="122" t="str">
        <f>IF('Data entry'!B9="","",'Data entry'!B9)</f>
        <v>Natural Hard Rubber</v>
      </c>
      <c r="D9" s="122"/>
      <c r="E9" s="122"/>
      <c r="F9" s="25"/>
      <c r="G9" s="126" t="s">
        <v>4</v>
      </c>
      <c r="H9" s="127"/>
      <c r="I9" s="63" t="s">
        <v>5</v>
      </c>
    </row>
    <row r="10" spans="2:10" ht="15.75" thickBot="1" x14ac:dyDescent="0.3">
      <c r="B10" s="33" t="s">
        <v>113</v>
      </c>
      <c r="C10" s="122" t="str">
        <f>IF('Data entry'!B11&lt;=400,"Dual Frequency",IF('Data entry'!B11&gt;=500,"Pulsed DC","ERROR"))</f>
        <v>Dual Frequency</v>
      </c>
      <c r="D10" s="122"/>
      <c r="E10" s="122"/>
      <c r="F10" s="25"/>
      <c r="G10" s="56" t="str">
        <f>C14</f>
        <v>m3/hr</v>
      </c>
      <c r="H10" s="57" t="s">
        <v>36</v>
      </c>
      <c r="I10" s="56" t="s">
        <v>24</v>
      </c>
    </row>
    <row r="11" spans="2:10" x14ac:dyDescent="0.25">
      <c r="B11" s="33" t="s">
        <v>114</v>
      </c>
      <c r="C11" s="122" t="str">
        <f>'Data entry'!B10</f>
        <v>AXW Integral or AXW4A</v>
      </c>
      <c r="D11" s="122"/>
      <c r="E11" s="122"/>
      <c r="F11" s="25"/>
      <c r="G11" s="85">
        <f>IF(C16="ERROR",0,C16)</f>
        <v>50</v>
      </c>
      <c r="H11" s="44">
        <v>100</v>
      </c>
      <c r="I11" s="27">
        <f>'AXW Calculator'!M9</f>
        <v>0.35</v>
      </c>
    </row>
    <row r="12" spans="2:10" x14ac:dyDescent="0.25">
      <c r="B12" s="43" t="s">
        <v>32</v>
      </c>
      <c r="C12" s="107">
        <f>IF(size="","",size)</f>
        <v>50</v>
      </c>
      <c r="D12" s="107" t="s">
        <v>3</v>
      </c>
      <c r="E12" s="25"/>
      <c r="F12" s="25"/>
      <c r="G12" s="85">
        <f t="shared" ref="G12:G21" si="0">(H12/100)*$G$11</f>
        <v>45</v>
      </c>
      <c r="H12" s="44">
        <v>90</v>
      </c>
      <c r="I12" s="27">
        <f>'AXW Calculator'!M13</f>
        <v>0.35</v>
      </c>
    </row>
    <row r="13" spans="2:10" x14ac:dyDescent="0.25">
      <c r="B13" s="33"/>
      <c r="C13" s="25"/>
      <c r="D13" s="25"/>
      <c r="E13" s="25"/>
      <c r="F13" s="25"/>
      <c r="G13" s="85">
        <f t="shared" si="0"/>
        <v>40</v>
      </c>
      <c r="H13" s="44">
        <v>80</v>
      </c>
      <c r="I13" s="27">
        <f>'AXW Calculator'!M17</f>
        <v>0.35</v>
      </c>
    </row>
    <row r="14" spans="2:10" x14ac:dyDescent="0.25">
      <c r="B14" s="33" t="s">
        <v>25</v>
      </c>
      <c r="C14" s="25" t="str">
        <f>'Data entry'!C12</f>
        <v>m3/hr</v>
      </c>
      <c r="D14" s="25"/>
      <c r="E14" s="25"/>
      <c r="F14" s="25"/>
      <c r="G14" s="85">
        <f t="shared" si="0"/>
        <v>35</v>
      </c>
      <c r="H14" s="44">
        <v>70</v>
      </c>
      <c r="I14" s="27">
        <f>'AXW Calculator'!M21</f>
        <v>0.35</v>
      </c>
    </row>
    <row r="15" spans="2:10" x14ac:dyDescent="0.25">
      <c r="B15" s="58" t="s">
        <v>26</v>
      </c>
      <c r="C15" s="46"/>
      <c r="D15" s="47"/>
      <c r="E15" s="25"/>
      <c r="F15" s="25"/>
      <c r="G15" s="85">
        <f t="shared" si="0"/>
        <v>30</v>
      </c>
      <c r="H15" s="44">
        <v>60</v>
      </c>
      <c r="I15" s="27">
        <f>'AXW Calculator'!M25</f>
        <v>0.35</v>
      </c>
    </row>
    <row r="16" spans="2:10" x14ac:dyDescent="0.25">
      <c r="B16" s="33" t="s">
        <v>37</v>
      </c>
      <c r="C16" s="25">
        <f>IF('Data entry'!B17="OK",'Data entry'!B12,"ERROR")</f>
        <v>50</v>
      </c>
      <c r="D16" s="49" t="str">
        <f>C14</f>
        <v>m3/hr</v>
      </c>
      <c r="E16" s="25"/>
      <c r="F16" s="25"/>
      <c r="G16" s="85">
        <f t="shared" si="0"/>
        <v>25</v>
      </c>
      <c r="H16" s="44">
        <v>50</v>
      </c>
      <c r="I16" s="27">
        <f>'AXW Calculator'!M29</f>
        <v>0.35</v>
      </c>
    </row>
    <row r="17" spans="2:9" x14ac:dyDescent="0.25">
      <c r="B17" s="59" t="s">
        <v>6</v>
      </c>
      <c r="C17" s="51">
        <v>0</v>
      </c>
      <c r="D17" s="52"/>
      <c r="E17" s="25"/>
      <c r="F17" s="25"/>
      <c r="G17" s="85">
        <f t="shared" si="0"/>
        <v>20</v>
      </c>
      <c r="H17" s="44">
        <v>40</v>
      </c>
      <c r="I17" s="27">
        <f>'AXW Calculator'!M33</f>
        <v>0.35</v>
      </c>
    </row>
    <row r="18" spans="2:9" x14ac:dyDescent="0.25">
      <c r="B18" s="33"/>
      <c r="C18" s="25"/>
      <c r="D18" s="25"/>
      <c r="E18" s="25"/>
      <c r="F18" s="25"/>
      <c r="G18" s="85">
        <f t="shared" si="0"/>
        <v>15</v>
      </c>
      <c r="H18" s="44">
        <v>30</v>
      </c>
      <c r="I18" s="27">
        <f>'AXW Calculator'!M37</f>
        <v>0.35</v>
      </c>
    </row>
    <row r="19" spans="2:9" x14ac:dyDescent="0.25">
      <c r="B19" s="58" t="s">
        <v>27</v>
      </c>
      <c r="C19" s="46"/>
      <c r="D19" s="47"/>
      <c r="E19" s="25"/>
      <c r="F19" s="25"/>
      <c r="G19" s="85">
        <f t="shared" si="0"/>
        <v>10</v>
      </c>
      <c r="H19" s="44">
        <v>20</v>
      </c>
      <c r="I19" s="27">
        <f>'AXW Calculator'!M41</f>
        <v>0.35</v>
      </c>
    </row>
    <row r="20" spans="2:9" x14ac:dyDescent="0.25">
      <c r="B20" s="33" t="s">
        <v>37</v>
      </c>
      <c r="C20" s="24">
        <f>IF('Data entry'!B17="OK",'Data entry'!B15,"ERROR")</f>
        <v>7.0735530263064588</v>
      </c>
      <c r="D20" s="49" t="s">
        <v>7</v>
      </c>
      <c r="E20" s="25"/>
      <c r="F20" s="25"/>
      <c r="G20" s="85">
        <f t="shared" si="0"/>
        <v>5</v>
      </c>
      <c r="H20" s="44">
        <v>10</v>
      </c>
      <c r="I20" s="27">
        <f>'AXW Calculator'!M45</f>
        <v>0.35</v>
      </c>
    </row>
    <row r="21" spans="2:9" ht="15.75" thickBot="1" x14ac:dyDescent="0.3">
      <c r="B21" s="59" t="s">
        <v>6</v>
      </c>
      <c r="C21" s="51">
        <v>0</v>
      </c>
      <c r="D21" s="52"/>
      <c r="E21" s="25"/>
      <c r="F21" s="25"/>
      <c r="G21" s="86">
        <f t="shared" si="0"/>
        <v>2.5</v>
      </c>
      <c r="H21" s="55">
        <v>5</v>
      </c>
      <c r="I21" s="54">
        <f>'AXW Calculator'!M50</f>
        <v>0.35</v>
      </c>
    </row>
    <row r="22" spans="2:9" x14ac:dyDescent="0.25">
      <c r="B22" s="33"/>
      <c r="C22" s="25"/>
      <c r="D22" s="25"/>
      <c r="E22" s="25"/>
      <c r="F22" s="25"/>
      <c r="G22" s="25"/>
      <c r="H22" s="25"/>
      <c r="I22" s="32"/>
    </row>
    <row r="23" spans="2:9" x14ac:dyDescent="0.25">
      <c r="B23" s="58" t="s">
        <v>14</v>
      </c>
      <c r="C23" s="46"/>
      <c r="D23" s="47"/>
      <c r="E23" s="25"/>
      <c r="F23" s="25"/>
      <c r="G23" s="45" t="s">
        <v>28</v>
      </c>
      <c r="H23" s="46"/>
      <c r="I23" s="60"/>
    </row>
    <row r="24" spans="2:9" x14ac:dyDescent="0.25">
      <c r="B24" s="33" t="s">
        <v>37</v>
      </c>
      <c r="C24" s="91">
        <f>IF('Data entry'!B17="OK",'Data entry'!C14,"ERROR")</f>
        <v>70</v>
      </c>
      <c r="D24" s="49" t="str">
        <f>C14</f>
        <v>m3/hr</v>
      </c>
      <c r="E24" s="25"/>
      <c r="F24" s="25"/>
      <c r="G24" s="48" t="s">
        <v>37</v>
      </c>
      <c r="H24" s="26">
        <v>10</v>
      </c>
      <c r="I24" s="32" t="s">
        <v>7</v>
      </c>
    </row>
    <row r="25" spans="2:9" x14ac:dyDescent="0.25">
      <c r="B25" s="59" t="s">
        <v>6</v>
      </c>
      <c r="C25" s="51">
        <v>0</v>
      </c>
      <c r="D25" s="52"/>
      <c r="E25" s="25"/>
      <c r="F25" s="25"/>
      <c r="G25" s="50" t="s">
        <v>6</v>
      </c>
      <c r="H25" s="53">
        <v>0</v>
      </c>
      <c r="I25" s="61"/>
    </row>
    <row r="26" spans="2:9" x14ac:dyDescent="0.25">
      <c r="B26" s="33"/>
      <c r="C26" s="25"/>
      <c r="D26" s="25"/>
      <c r="E26" s="25"/>
      <c r="F26" s="25"/>
      <c r="G26" s="25"/>
      <c r="H26" s="25"/>
      <c r="I26" s="32"/>
    </row>
    <row r="27" spans="2:9" x14ac:dyDescent="0.25">
      <c r="B27" s="33"/>
      <c r="C27" s="25"/>
      <c r="D27" s="25"/>
      <c r="E27" s="25"/>
      <c r="F27" s="25"/>
      <c r="G27" s="25"/>
      <c r="H27" s="25"/>
      <c r="I27" s="32"/>
    </row>
    <row r="28" spans="2:9" x14ac:dyDescent="0.25">
      <c r="B28" s="33"/>
      <c r="C28" s="25"/>
      <c r="D28" s="25"/>
      <c r="E28" s="25"/>
      <c r="F28" s="25"/>
      <c r="G28" s="25"/>
      <c r="H28" s="25"/>
      <c r="I28" s="32"/>
    </row>
    <row r="29" spans="2:9" x14ac:dyDescent="0.25">
      <c r="B29" s="33"/>
      <c r="C29" s="25"/>
      <c r="D29" s="25"/>
      <c r="E29" s="25"/>
      <c r="F29" s="25"/>
      <c r="G29" s="25"/>
      <c r="H29" s="25"/>
      <c r="I29" s="32"/>
    </row>
    <row r="30" spans="2:9" x14ac:dyDescent="0.25">
      <c r="B30" s="33"/>
      <c r="C30" s="25"/>
      <c r="D30" s="25"/>
      <c r="E30" s="25"/>
      <c r="F30" s="25"/>
      <c r="G30" s="25"/>
      <c r="H30" s="25"/>
      <c r="I30" s="32"/>
    </row>
    <row r="31" spans="2:9" x14ac:dyDescent="0.25">
      <c r="B31" s="33"/>
      <c r="C31" s="25"/>
      <c r="D31" s="25"/>
      <c r="E31" s="25"/>
      <c r="F31" s="25"/>
      <c r="G31" s="25"/>
      <c r="H31" s="25"/>
      <c r="I31" s="32"/>
    </row>
    <row r="32" spans="2:9" x14ac:dyDescent="0.25">
      <c r="B32" s="33"/>
      <c r="C32" s="25"/>
      <c r="D32" s="25"/>
      <c r="E32" s="25"/>
      <c r="F32" s="25"/>
      <c r="G32" s="25"/>
      <c r="H32" s="25"/>
      <c r="I32" s="32"/>
    </row>
    <row r="33" spans="2:9" x14ac:dyDescent="0.25">
      <c r="B33" s="33"/>
      <c r="C33" s="25"/>
      <c r="D33" s="25"/>
      <c r="E33" s="25"/>
      <c r="F33" s="25"/>
      <c r="G33" s="25"/>
      <c r="H33" s="25"/>
      <c r="I33" s="32"/>
    </row>
    <row r="34" spans="2:9" x14ac:dyDescent="0.25">
      <c r="B34" s="33"/>
      <c r="C34" s="25"/>
      <c r="D34" s="25"/>
      <c r="E34" s="25"/>
      <c r="F34" s="25"/>
      <c r="G34" s="25"/>
      <c r="H34" s="25"/>
      <c r="I34" s="32"/>
    </row>
    <row r="35" spans="2:9" x14ac:dyDescent="0.25">
      <c r="B35" s="33"/>
      <c r="C35" s="25"/>
      <c r="D35" s="25"/>
      <c r="E35" s="25"/>
      <c r="F35" s="25"/>
      <c r="G35" s="25"/>
      <c r="H35" s="25"/>
      <c r="I35" s="32"/>
    </row>
    <row r="36" spans="2:9" x14ac:dyDescent="0.25">
      <c r="B36" s="33"/>
      <c r="C36" s="25"/>
      <c r="D36" s="25"/>
      <c r="E36" s="25"/>
      <c r="F36" s="25"/>
      <c r="G36" s="25"/>
      <c r="H36" s="25"/>
      <c r="I36" s="32"/>
    </row>
    <row r="37" spans="2:9" x14ac:dyDescent="0.25">
      <c r="B37" s="33"/>
      <c r="C37" s="25"/>
      <c r="D37" s="25"/>
      <c r="E37" s="25"/>
      <c r="F37" s="25"/>
      <c r="G37" s="25"/>
      <c r="H37" s="25"/>
      <c r="I37" s="32"/>
    </row>
    <row r="38" spans="2:9" x14ac:dyDescent="0.25">
      <c r="B38" s="33"/>
      <c r="C38" s="25"/>
      <c r="D38" s="25"/>
      <c r="E38" s="25"/>
      <c r="F38" s="25"/>
      <c r="G38" s="25"/>
      <c r="H38" s="25"/>
      <c r="I38" s="32"/>
    </row>
    <row r="39" spans="2:9" x14ac:dyDescent="0.25">
      <c r="B39" s="33"/>
      <c r="C39" s="25"/>
      <c r="D39" s="25"/>
      <c r="E39" s="25"/>
      <c r="F39" s="25"/>
      <c r="G39" s="25"/>
      <c r="H39" s="25"/>
      <c r="I39" s="32"/>
    </row>
    <row r="40" spans="2:9" x14ac:dyDescent="0.25">
      <c r="B40" s="33"/>
      <c r="C40" s="25"/>
      <c r="D40" s="25"/>
      <c r="E40" s="25"/>
      <c r="F40" s="25"/>
      <c r="G40" s="25"/>
      <c r="H40" s="25"/>
      <c r="I40" s="32"/>
    </row>
    <row r="41" spans="2:9" x14ac:dyDescent="0.25">
      <c r="B41" s="33"/>
      <c r="C41" s="25"/>
      <c r="D41" s="25"/>
      <c r="E41" s="25"/>
      <c r="F41" s="25"/>
      <c r="G41" s="25"/>
      <c r="H41" s="25"/>
      <c r="I41" s="32"/>
    </row>
    <row r="42" spans="2:9" x14ac:dyDescent="0.25">
      <c r="B42" s="33"/>
      <c r="C42" s="25"/>
      <c r="D42" s="25"/>
      <c r="E42" s="25"/>
      <c r="F42" s="25"/>
      <c r="G42" s="25"/>
      <c r="H42" s="25"/>
      <c r="I42" s="32"/>
    </row>
    <row r="43" spans="2:9" x14ac:dyDescent="0.25">
      <c r="B43" s="33"/>
      <c r="C43" s="25"/>
      <c r="D43" s="25"/>
      <c r="E43" s="25"/>
      <c r="F43" s="25"/>
      <c r="G43" s="25"/>
      <c r="H43" s="25"/>
      <c r="I43" s="32"/>
    </row>
    <row r="44" spans="2:9" x14ac:dyDescent="0.25">
      <c r="B44" s="33"/>
      <c r="C44" s="25"/>
      <c r="D44" s="25"/>
      <c r="E44" s="25"/>
      <c r="F44" s="25"/>
      <c r="G44" s="25"/>
      <c r="H44" s="25"/>
      <c r="I44" s="32"/>
    </row>
    <row r="45" spans="2:9" x14ac:dyDescent="0.25">
      <c r="B45" s="33"/>
      <c r="C45" s="25"/>
      <c r="D45" s="25"/>
      <c r="E45" s="25"/>
      <c r="F45" s="25"/>
      <c r="G45" s="25"/>
      <c r="H45" s="25"/>
      <c r="I45" s="32"/>
    </row>
    <row r="46" spans="2:9" x14ac:dyDescent="0.25">
      <c r="B46" s="33"/>
      <c r="C46" s="25"/>
      <c r="D46" s="25"/>
      <c r="E46" s="25"/>
      <c r="F46" s="25"/>
      <c r="G46" s="25"/>
      <c r="H46" s="25"/>
      <c r="I46" s="32"/>
    </row>
    <row r="47" spans="2:9" x14ac:dyDescent="0.25">
      <c r="B47" s="33"/>
      <c r="C47" s="25"/>
      <c r="D47" s="25"/>
      <c r="E47" s="25"/>
      <c r="F47" s="25"/>
      <c r="G47" s="25"/>
      <c r="H47" s="25"/>
      <c r="I47" s="32"/>
    </row>
    <row r="48" spans="2:9" x14ac:dyDescent="0.25">
      <c r="B48" s="33"/>
      <c r="C48" s="25"/>
      <c r="D48" s="25"/>
      <c r="E48" s="25"/>
      <c r="F48" s="25"/>
      <c r="G48" s="25"/>
      <c r="H48" s="25"/>
      <c r="I48" s="32"/>
    </row>
    <row r="49" spans="2:9" x14ac:dyDescent="0.25">
      <c r="B49" s="33"/>
      <c r="C49" s="25"/>
      <c r="D49" s="25"/>
      <c r="E49" s="25"/>
      <c r="F49" s="25"/>
      <c r="G49" s="25"/>
      <c r="H49" s="25"/>
      <c r="I49" s="32"/>
    </row>
    <row r="50" spans="2:9" x14ac:dyDescent="0.25">
      <c r="B50" s="33"/>
      <c r="C50" s="25"/>
      <c r="D50" s="25"/>
      <c r="E50" s="25"/>
      <c r="F50" s="25"/>
      <c r="G50" s="25"/>
      <c r="H50" s="25"/>
      <c r="I50" s="32"/>
    </row>
    <row r="51" spans="2:9" ht="15.75" thickBot="1" x14ac:dyDescent="0.3">
      <c r="B51" s="34"/>
      <c r="C51" s="35"/>
      <c r="D51" s="35"/>
      <c r="E51" s="35"/>
      <c r="F51" s="35"/>
      <c r="G51" s="35"/>
      <c r="H51" s="35"/>
      <c r="I51" s="36"/>
    </row>
  </sheetData>
  <sheetProtection password="C795" sheet="1" objects="1" scenarios="1" selectLockedCells="1" selectUnlockedCells="1"/>
  <mergeCells count="8">
    <mergeCell ref="C11:E11"/>
    <mergeCell ref="C10:E10"/>
    <mergeCell ref="C4:G4"/>
    <mergeCell ref="C7:I7"/>
    <mergeCell ref="G9:H9"/>
    <mergeCell ref="C8:E8"/>
    <mergeCell ref="C5:G5"/>
    <mergeCell ref="C9:E9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54"/>
  <sheetViews>
    <sheetView workbookViewId="0">
      <selection activeCell="L2" sqref="L2"/>
    </sheetView>
  </sheetViews>
  <sheetFormatPr defaultRowHeight="15" x14ac:dyDescent="0.25"/>
  <cols>
    <col min="1" max="1" width="2.28515625" customWidth="1"/>
    <col min="2" max="2" width="12.42578125" bestFit="1" customWidth="1"/>
    <col min="3" max="3" width="19.28515625" customWidth="1"/>
    <col min="4" max="4" width="23.85546875" bestFit="1" customWidth="1"/>
    <col min="5" max="5" width="3.7109375" customWidth="1"/>
    <col min="6" max="6" width="14.42578125" hidden="1" customWidth="1"/>
    <col min="7" max="7" width="3" hidden="1" customWidth="1"/>
    <col min="8" max="8" width="13.28515625" hidden="1" customWidth="1"/>
    <col min="9" max="9" width="2.28515625" hidden="1" customWidth="1"/>
    <col min="10" max="10" width="14.42578125" hidden="1" customWidth="1"/>
    <col min="11" max="11" width="2.140625" customWidth="1"/>
    <col min="12" max="13" width="10.42578125" bestFit="1" customWidth="1"/>
  </cols>
  <sheetData>
    <row r="1" spans="2:13" ht="15.75" thickBot="1" x14ac:dyDescent="0.3"/>
    <row r="2" spans="2:13" ht="15.75" thickBot="1" x14ac:dyDescent="0.3">
      <c r="B2" s="18" t="s">
        <v>23</v>
      </c>
      <c r="C2" s="22">
        <f>IF('Data entry'!D5="OK",'Data entry'!B15,0)</f>
        <v>7.0735530263064588</v>
      </c>
      <c r="D2" s="19" t="s">
        <v>7</v>
      </c>
    </row>
    <row r="3" spans="2:13" ht="15.75" thickBot="1" x14ac:dyDescent="0.3">
      <c r="B3" s="20" t="s">
        <v>1</v>
      </c>
      <c r="C3" s="21">
        <f>size</f>
        <v>50</v>
      </c>
    </row>
    <row r="4" spans="2:13" x14ac:dyDescent="0.25">
      <c r="F4" s="92" t="s">
        <v>115</v>
      </c>
      <c r="H4" s="115" t="s">
        <v>54</v>
      </c>
      <c r="J4" s="93" t="s">
        <v>55</v>
      </c>
    </row>
    <row r="5" spans="2:13" x14ac:dyDescent="0.25">
      <c r="B5" s="87" t="s">
        <v>116</v>
      </c>
      <c r="C5" t="str">
        <f>'Data entry'!B9</f>
        <v>Natural Hard Rubber</v>
      </c>
      <c r="D5" t="str">
        <f>'Data entry'!B10</f>
        <v>AXW Integral or AXW4A</v>
      </c>
    </row>
    <row r="6" spans="2:13" ht="15.75" thickBot="1" x14ac:dyDescent="0.3">
      <c r="B6" s="108" t="s">
        <v>117</v>
      </c>
      <c r="C6" s="87" t="s">
        <v>118</v>
      </c>
      <c r="F6" s="110" t="str">
        <f>IF(AND(C3&gt;=25,C3&lt;=400),"TRUE","FALSE")</f>
        <v>TRUE</v>
      </c>
      <c r="H6" s="110" t="str">
        <f>IF(AND(C3&gt;=500,C3&lt;=1000),"TRUE","FALSE")</f>
        <v>FALSE</v>
      </c>
      <c r="J6" s="110" t="str">
        <f>IF(AND(C3&gt;=1100,C3&lt;=1800),"TRUE","FALSE")</f>
        <v>FALSE</v>
      </c>
    </row>
    <row r="7" spans="2:13" ht="15.75" thickBot="1" x14ac:dyDescent="0.3">
      <c r="L7" s="69" t="s">
        <v>13</v>
      </c>
      <c r="M7" s="70" t="s">
        <v>24</v>
      </c>
    </row>
    <row r="8" spans="2:13" ht="15.75" thickBot="1" x14ac:dyDescent="0.3">
      <c r="B8" t="s">
        <v>13</v>
      </c>
      <c r="C8" t="s">
        <v>22</v>
      </c>
      <c r="D8" t="s">
        <v>41</v>
      </c>
      <c r="F8" s="109" t="s">
        <v>24</v>
      </c>
      <c r="G8" s="108"/>
      <c r="H8" s="109" t="s">
        <v>24</v>
      </c>
      <c r="J8" s="109" t="s">
        <v>24</v>
      </c>
      <c r="L8" s="20"/>
      <c r="M8" s="21"/>
    </row>
    <row r="9" spans="2:13" x14ac:dyDescent="0.25">
      <c r="B9" s="16">
        <v>100</v>
      </c>
      <c r="C9" s="6">
        <f>C2</f>
        <v>7.0735530263064588</v>
      </c>
      <c r="D9" s="6">
        <f>C9*1000</f>
        <v>7073.5530263064584</v>
      </c>
      <c r="F9" s="111">
        <f>IF(AND(C9&lt;10,C9&gt;=0.3),0.35,((1/D9)*100))</f>
        <v>0.35</v>
      </c>
      <c r="G9" s="25"/>
      <c r="H9" s="113">
        <f>IF(AND(C9&lt;=10,C9&gt;=0.3),0.35+((1/D9)*100),((2/D9)*100))</f>
        <v>0.36413716694115406</v>
      </c>
      <c r="J9" s="116">
        <f>IF(AND(C9&lt;=10,C9&gt;=1),0.5+((1/D9)*100),IF(AND(C9&lt;1,C9&gt;=0.3),0.4+((1.8/D9)*100),((3/D9)*100)))</f>
        <v>0.51413716694115408</v>
      </c>
      <c r="L9" s="71">
        <v>100</v>
      </c>
      <c r="M9" s="83">
        <f>IF($F$6="TRUE",F9,IF($H$6="TRUE",H9,IF($J$6="TRUE",J9,"ERROR")))</f>
        <v>0.35</v>
      </c>
    </row>
    <row r="10" spans="2:13" x14ac:dyDescent="0.25">
      <c r="B10" s="16">
        <v>97.5</v>
      </c>
      <c r="C10" s="6">
        <f>(B10/100)*$C$2</f>
        <v>6.8967142006487974</v>
      </c>
      <c r="D10" s="6">
        <f t="shared" ref="D10:D54" si="0">C10*1000</f>
        <v>6896.7142006487975</v>
      </c>
      <c r="F10" s="111">
        <f t="shared" ref="F10:F54" si="1">IF(AND(C10&lt;10,C10&gt;=0.3),0.35,((1/D10)*100))</f>
        <v>0.35</v>
      </c>
      <c r="G10" s="25"/>
      <c r="H10" s="113">
        <f t="shared" ref="H10:H54" si="2">IF(AND(C10&lt;=10,C10&gt;=0.3),0.35+((1/D10)*100),((2/D10)*100))</f>
        <v>0.36449965840118365</v>
      </c>
      <c r="J10" s="113">
        <f t="shared" ref="J10:J54" si="3">IF(AND(C10&lt;=10,C10&gt;=1),0.5+((1/D10)*100),IF(AND(C10&lt;1,C10&gt;=0.3),0.4+((1.8/D10)*100),((3/D10)*100)))</f>
        <v>0.51449965840118361</v>
      </c>
      <c r="L10" s="71">
        <v>97.5</v>
      </c>
      <c r="M10" s="83">
        <f t="shared" ref="M10:M54" si="4">IF($F$6="TRUE",F10,IF($H$6="TRUE",H10,IF($J$6="TRUE",J10,"ERROR")))</f>
        <v>0.35</v>
      </c>
    </row>
    <row r="11" spans="2:13" x14ac:dyDescent="0.25">
      <c r="B11" s="16">
        <v>95</v>
      </c>
      <c r="C11" s="6">
        <f t="shared" ref="C11:C54" si="5">(B11/100)*$C$2</f>
        <v>6.7198753749911351</v>
      </c>
      <c r="D11" s="6">
        <f t="shared" si="0"/>
        <v>6719.8753749911348</v>
      </c>
      <c r="F11" s="111">
        <f t="shared" si="1"/>
        <v>0.35</v>
      </c>
      <c r="G11" s="25"/>
      <c r="H11" s="113">
        <f t="shared" si="2"/>
        <v>0.36488122835910952</v>
      </c>
      <c r="J11" s="113">
        <f t="shared" si="3"/>
        <v>0.51488122835910954</v>
      </c>
      <c r="L11" s="71">
        <v>95</v>
      </c>
      <c r="M11" s="83">
        <f t="shared" si="4"/>
        <v>0.35</v>
      </c>
    </row>
    <row r="12" spans="2:13" x14ac:dyDescent="0.25">
      <c r="B12" s="16">
        <v>92.5</v>
      </c>
      <c r="C12" s="6">
        <f t="shared" si="5"/>
        <v>6.5430365493334746</v>
      </c>
      <c r="D12" s="6">
        <f t="shared" si="0"/>
        <v>6543.0365493334748</v>
      </c>
      <c r="F12" s="111">
        <f t="shared" si="1"/>
        <v>0.35</v>
      </c>
      <c r="G12" s="25"/>
      <c r="H12" s="113">
        <f t="shared" si="2"/>
        <v>0.36528342372016653</v>
      </c>
      <c r="J12" s="113">
        <f t="shared" si="3"/>
        <v>0.51528342372016656</v>
      </c>
      <c r="L12" s="71">
        <v>92.5</v>
      </c>
      <c r="M12" s="83">
        <f t="shared" si="4"/>
        <v>0.35</v>
      </c>
    </row>
    <row r="13" spans="2:13" x14ac:dyDescent="0.25">
      <c r="B13" s="16">
        <v>90</v>
      </c>
      <c r="C13" s="6">
        <f t="shared" si="5"/>
        <v>6.3661977236758132</v>
      </c>
      <c r="D13" s="6">
        <f t="shared" si="0"/>
        <v>6366.197723675813</v>
      </c>
      <c r="F13" s="111">
        <f t="shared" si="1"/>
        <v>0.35</v>
      </c>
      <c r="G13" s="25"/>
      <c r="H13" s="113">
        <f t="shared" si="2"/>
        <v>0.36570796326794897</v>
      </c>
      <c r="J13" s="113">
        <f t="shared" si="3"/>
        <v>0.51570796326794899</v>
      </c>
      <c r="L13" s="71">
        <v>90</v>
      </c>
      <c r="M13" s="83">
        <f t="shared" si="4"/>
        <v>0.35</v>
      </c>
    </row>
    <row r="14" spans="2:13" x14ac:dyDescent="0.25">
      <c r="B14" s="16">
        <v>87.5</v>
      </c>
      <c r="C14" s="6">
        <f t="shared" si="5"/>
        <v>6.1893588980181518</v>
      </c>
      <c r="D14" s="6">
        <f t="shared" si="0"/>
        <v>6189.3588980181521</v>
      </c>
      <c r="F14" s="111">
        <f t="shared" si="1"/>
        <v>0.35</v>
      </c>
      <c r="G14" s="25"/>
      <c r="H14" s="113">
        <f t="shared" si="2"/>
        <v>0.36615676221846177</v>
      </c>
      <c r="J14" s="113">
        <f t="shared" si="3"/>
        <v>0.51615676221846174</v>
      </c>
      <c r="L14" s="71">
        <v>87.5</v>
      </c>
      <c r="M14" s="83">
        <f t="shared" si="4"/>
        <v>0.35</v>
      </c>
    </row>
    <row r="15" spans="2:13" x14ac:dyDescent="0.25">
      <c r="B15" s="16">
        <v>85</v>
      </c>
      <c r="C15" s="6">
        <f t="shared" si="5"/>
        <v>6.0125200723604895</v>
      </c>
      <c r="D15" s="6">
        <f t="shared" si="0"/>
        <v>6012.5200723604894</v>
      </c>
      <c r="F15" s="111">
        <f t="shared" si="1"/>
        <v>0.35</v>
      </c>
      <c r="G15" s="25"/>
      <c r="H15" s="113">
        <f t="shared" si="2"/>
        <v>0.36663196110724006</v>
      </c>
      <c r="J15" s="113">
        <f t="shared" si="3"/>
        <v>0.51663196110724008</v>
      </c>
      <c r="L15" s="71">
        <v>85</v>
      </c>
      <c r="M15" s="83">
        <f t="shared" si="4"/>
        <v>0.35</v>
      </c>
    </row>
    <row r="16" spans="2:13" x14ac:dyDescent="0.25">
      <c r="B16" s="16">
        <v>82.5</v>
      </c>
      <c r="C16" s="6">
        <f t="shared" si="5"/>
        <v>5.8356812467028281</v>
      </c>
      <c r="D16" s="6">
        <f t="shared" si="0"/>
        <v>5835.6812467028285</v>
      </c>
      <c r="F16" s="111">
        <f t="shared" si="1"/>
        <v>0.35</v>
      </c>
      <c r="G16" s="25"/>
      <c r="H16" s="113">
        <f t="shared" si="2"/>
        <v>0.3671359599286716</v>
      </c>
      <c r="J16" s="113">
        <f t="shared" si="3"/>
        <v>0.51713595992867156</v>
      </c>
      <c r="L16" s="71">
        <v>82.5</v>
      </c>
      <c r="M16" s="83">
        <f t="shared" si="4"/>
        <v>0.35</v>
      </c>
    </row>
    <row r="17" spans="2:13" x14ac:dyDescent="0.25">
      <c r="B17" s="16">
        <v>80</v>
      </c>
      <c r="C17" s="6">
        <f t="shared" si="5"/>
        <v>5.6588424210451675</v>
      </c>
      <c r="D17" s="6">
        <f t="shared" si="0"/>
        <v>5658.8424210451676</v>
      </c>
      <c r="F17" s="111">
        <f t="shared" si="1"/>
        <v>0.35</v>
      </c>
      <c r="G17" s="25"/>
      <c r="H17" s="113">
        <f t="shared" si="2"/>
        <v>0.36767145867644258</v>
      </c>
      <c r="J17" s="113">
        <f t="shared" si="3"/>
        <v>0.5176714586764426</v>
      </c>
      <c r="L17" s="71">
        <v>80</v>
      </c>
      <c r="M17" s="83">
        <f t="shared" si="4"/>
        <v>0.35</v>
      </c>
    </row>
    <row r="18" spans="2:13" x14ac:dyDescent="0.25">
      <c r="B18" s="16">
        <v>77.5</v>
      </c>
      <c r="C18" s="6">
        <f t="shared" si="5"/>
        <v>5.4820035953875061</v>
      </c>
      <c r="D18" s="6">
        <f t="shared" si="0"/>
        <v>5482.0035953875058</v>
      </c>
      <c r="F18" s="111">
        <f t="shared" si="1"/>
        <v>0.35</v>
      </c>
      <c r="G18" s="25"/>
      <c r="H18" s="113">
        <f t="shared" si="2"/>
        <v>0.36824150573052133</v>
      </c>
      <c r="J18" s="113">
        <f t="shared" si="3"/>
        <v>0.51824150573052141</v>
      </c>
      <c r="L18" s="71">
        <v>77.5</v>
      </c>
      <c r="M18" s="83">
        <f t="shared" si="4"/>
        <v>0.35</v>
      </c>
    </row>
    <row r="19" spans="2:13" x14ac:dyDescent="0.25">
      <c r="B19" s="16">
        <v>75</v>
      </c>
      <c r="C19" s="6">
        <f t="shared" si="5"/>
        <v>5.3051647697298439</v>
      </c>
      <c r="D19" s="6">
        <f t="shared" si="0"/>
        <v>5305.164769729844</v>
      </c>
      <c r="F19" s="111">
        <f t="shared" si="1"/>
        <v>0.35</v>
      </c>
      <c r="G19" s="25"/>
      <c r="H19" s="113">
        <f t="shared" si="2"/>
        <v>0.36884955592153873</v>
      </c>
      <c r="J19" s="113">
        <f t="shared" si="3"/>
        <v>0.51884955592153881</v>
      </c>
      <c r="L19" s="71">
        <v>75</v>
      </c>
      <c r="M19" s="83">
        <f t="shared" si="4"/>
        <v>0.35</v>
      </c>
    </row>
    <row r="20" spans="2:13" x14ac:dyDescent="0.25">
      <c r="B20" s="16">
        <v>72.5</v>
      </c>
      <c r="C20" s="6">
        <f t="shared" si="5"/>
        <v>5.1283259440721825</v>
      </c>
      <c r="D20" s="6">
        <f t="shared" si="0"/>
        <v>5128.3259440721822</v>
      </c>
      <c r="F20" s="111">
        <f t="shared" si="1"/>
        <v>0.35</v>
      </c>
      <c r="G20" s="25"/>
      <c r="H20" s="113">
        <f t="shared" si="2"/>
        <v>0.36949954060848833</v>
      </c>
      <c r="J20" s="113">
        <f t="shared" si="3"/>
        <v>0.51949954060848835</v>
      </c>
      <c r="L20" s="71">
        <v>72.5</v>
      </c>
      <c r="M20" s="83">
        <f t="shared" si="4"/>
        <v>0.35</v>
      </c>
    </row>
    <row r="21" spans="2:13" x14ac:dyDescent="0.25">
      <c r="B21" s="16">
        <v>70</v>
      </c>
      <c r="C21" s="6">
        <f t="shared" si="5"/>
        <v>4.951487118414521</v>
      </c>
      <c r="D21" s="6">
        <f t="shared" si="0"/>
        <v>4951.4871184145213</v>
      </c>
      <c r="F21" s="111">
        <f t="shared" si="1"/>
        <v>0.35</v>
      </c>
      <c r="G21" s="25"/>
      <c r="H21" s="113">
        <f t="shared" si="2"/>
        <v>0.37019595277307721</v>
      </c>
      <c r="J21" s="113">
        <f t="shared" si="3"/>
        <v>0.52019595277307729</v>
      </c>
      <c r="L21" s="71">
        <v>70</v>
      </c>
      <c r="M21" s="83">
        <f t="shared" si="4"/>
        <v>0.35</v>
      </c>
    </row>
    <row r="22" spans="2:13" x14ac:dyDescent="0.25">
      <c r="B22" s="16">
        <v>67.5</v>
      </c>
      <c r="C22" s="6">
        <f t="shared" si="5"/>
        <v>4.7746482927568596</v>
      </c>
      <c r="D22" s="6">
        <f t="shared" si="0"/>
        <v>4774.6482927568595</v>
      </c>
      <c r="F22" s="111">
        <f t="shared" si="1"/>
        <v>0.35</v>
      </c>
      <c r="G22" s="25"/>
      <c r="H22" s="113">
        <f t="shared" si="2"/>
        <v>0.37094395102393196</v>
      </c>
      <c r="J22" s="113">
        <f t="shared" si="3"/>
        <v>0.52094395102393198</v>
      </c>
      <c r="L22" s="71">
        <v>67.5</v>
      </c>
      <c r="M22" s="83">
        <f t="shared" si="4"/>
        <v>0.35</v>
      </c>
    </row>
    <row r="23" spans="2:13" x14ac:dyDescent="0.25">
      <c r="B23" s="16">
        <v>65</v>
      </c>
      <c r="C23" s="6">
        <f t="shared" si="5"/>
        <v>4.5978094670991982</v>
      </c>
      <c r="D23" s="6">
        <f t="shared" si="0"/>
        <v>4597.8094670991986</v>
      </c>
      <c r="F23" s="111">
        <f t="shared" si="1"/>
        <v>0.35</v>
      </c>
      <c r="G23" s="25"/>
      <c r="H23" s="113">
        <f t="shared" si="2"/>
        <v>0.37174948760177545</v>
      </c>
      <c r="J23" s="113">
        <f t="shared" si="3"/>
        <v>0.52174948760177553</v>
      </c>
      <c r="L23" s="71">
        <v>65</v>
      </c>
      <c r="M23" s="83">
        <f t="shared" si="4"/>
        <v>0.35</v>
      </c>
    </row>
    <row r="24" spans="2:13" x14ac:dyDescent="0.25">
      <c r="B24" s="16">
        <v>62.5</v>
      </c>
      <c r="C24" s="6">
        <f t="shared" si="5"/>
        <v>4.4209706414415368</v>
      </c>
      <c r="D24" s="6">
        <f t="shared" si="0"/>
        <v>4420.9706414415368</v>
      </c>
      <c r="F24" s="111">
        <f t="shared" si="1"/>
        <v>0.35</v>
      </c>
      <c r="G24" s="25"/>
      <c r="H24" s="113">
        <f t="shared" si="2"/>
        <v>0.37261946710584648</v>
      </c>
      <c r="J24" s="113">
        <f t="shared" si="3"/>
        <v>0.5226194671058465</v>
      </c>
      <c r="L24" s="71">
        <v>62.5</v>
      </c>
      <c r="M24" s="83">
        <f t="shared" si="4"/>
        <v>0.35</v>
      </c>
    </row>
    <row r="25" spans="2:13" x14ac:dyDescent="0.25">
      <c r="B25" s="16">
        <v>60</v>
      </c>
      <c r="C25" s="6">
        <f t="shared" si="5"/>
        <v>4.2441318157838754</v>
      </c>
      <c r="D25" s="6">
        <f t="shared" si="0"/>
        <v>4244.131815783875</v>
      </c>
      <c r="F25" s="111">
        <f t="shared" si="1"/>
        <v>0.35</v>
      </c>
      <c r="G25" s="25"/>
      <c r="H25" s="113">
        <f t="shared" si="2"/>
        <v>0.3735619449019234</v>
      </c>
      <c r="J25" s="113">
        <f t="shared" si="3"/>
        <v>0.52356194490192343</v>
      </c>
      <c r="L25" s="71">
        <v>60</v>
      </c>
      <c r="M25" s="83">
        <f t="shared" si="4"/>
        <v>0.35</v>
      </c>
    </row>
    <row r="26" spans="2:13" x14ac:dyDescent="0.25">
      <c r="B26" s="16">
        <v>57.5</v>
      </c>
      <c r="C26" s="6">
        <f t="shared" si="5"/>
        <v>4.0672929901262131</v>
      </c>
      <c r="D26" s="6">
        <f t="shared" si="0"/>
        <v>4067.2929901262132</v>
      </c>
      <c r="F26" s="111">
        <f t="shared" si="1"/>
        <v>0.35</v>
      </c>
      <c r="G26" s="25"/>
      <c r="H26" s="113">
        <f t="shared" si="2"/>
        <v>0.3745863772889636</v>
      </c>
      <c r="J26" s="113">
        <f t="shared" si="3"/>
        <v>0.52458637728896362</v>
      </c>
      <c r="L26" s="71">
        <v>57.5</v>
      </c>
      <c r="M26" s="83">
        <f t="shared" si="4"/>
        <v>0.35</v>
      </c>
    </row>
    <row r="27" spans="2:13" x14ac:dyDescent="0.25">
      <c r="B27" s="16">
        <v>55</v>
      </c>
      <c r="C27" s="6">
        <f t="shared" si="5"/>
        <v>3.8904541644685526</v>
      </c>
      <c r="D27" s="6">
        <f t="shared" si="0"/>
        <v>3890.4541644685528</v>
      </c>
      <c r="F27" s="111">
        <f t="shared" si="1"/>
        <v>0.35</v>
      </c>
      <c r="G27" s="25"/>
      <c r="H27" s="113">
        <f t="shared" si="2"/>
        <v>0.37570393989300738</v>
      </c>
      <c r="J27" s="113">
        <f t="shared" si="3"/>
        <v>0.52570393989300745</v>
      </c>
      <c r="L27" s="71">
        <v>55</v>
      </c>
      <c r="M27" s="83">
        <f t="shared" si="4"/>
        <v>0.35</v>
      </c>
    </row>
    <row r="28" spans="2:13" x14ac:dyDescent="0.25">
      <c r="B28" s="16">
        <v>52.5</v>
      </c>
      <c r="C28" s="6">
        <f t="shared" si="5"/>
        <v>3.7136153388108912</v>
      </c>
      <c r="D28" s="6">
        <f t="shared" si="0"/>
        <v>3713.6153388108914</v>
      </c>
      <c r="F28" s="111">
        <f t="shared" si="1"/>
        <v>0.35</v>
      </c>
      <c r="G28" s="25"/>
      <c r="H28" s="113">
        <f t="shared" si="2"/>
        <v>0.37692793703076966</v>
      </c>
      <c r="J28" s="113">
        <f t="shared" si="3"/>
        <v>0.52692793703076968</v>
      </c>
      <c r="L28" s="71">
        <v>52.5</v>
      </c>
      <c r="M28" s="83">
        <f t="shared" si="4"/>
        <v>0.35</v>
      </c>
    </row>
    <row r="29" spans="2:13" x14ac:dyDescent="0.25">
      <c r="B29" s="16">
        <v>50</v>
      </c>
      <c r="C29" s="6">
        <f t="shared" si="5"/>
        <v>3.5367765131532294</v>
      </c>
      <c r="D29" s="6">
        <f t="shared" si="0"/>
        <v>3536.7765131532292</v>
      </c>
      <c r="F29" s="111">
        <f t="shared" si="1"/>
        <v>0.35</v>
      </c>
      <c r="G29" s="25"/>
      <c r="H29" s="113">
        <f t="shared" si="2"/>
        <v>0.37827433388230813</v>
      </c>
      <c r="J29" s="113">
        <f t="shared" si="3"/>
        <v>0.52827433388230816</v>
      </c>
      <c r="L29" s="71">
        <v>50</v>
      </c>
      <c r="M29" s="83">
        <f t="shared" si="4"/>
        <v>0.35</v>
      </c>
    </row>
    <row r="30" spans="2:13" x14ac:dyDescent="0.25">
      <c r="B30" s="16">
        <v>47.5</v>
      </c>
      <c r="C30" s="6">
        <f t="shared" si="5"/>
        <v>3.3599376874955675</v>
      </c>
      <c r="D30" s="6">
        <f t="shared" si="0"/>
        <v>3359.9376874955674</v>
      </c>
      <c r="F30" s="111">
        <f t="shared" si="1"/>
        <v>0.35</v>
      </c>
      <c r="G30" s="25"/>
      <c r="H30" s="113">
        <f t="shared" si="2"/>
        <v>0.37976245671821907</v>
      </c>
      <c r="J30" s="113">
        <f t="shared" si="3"/>
        <v>0.52976245671821909</v>
      </c>
      <c r="L30" s="71">
        <v>47.5</v>
      </c>
      <c r="M30" s="83">
        <f t="shared" si="4"/>
        <v>0.35</v>
      </c>
    </row>
    <row r="31" spans="2:13" x14ac:dyDescent="0.25">
      <c r="B31" s="16">
        <v>45</v>
      </c>
      <c r="C31" s="6">
        <f t="shared" si="5"/>
        <v>3.1830988618379066</v>
      </c>
      <c r="D31" s="6">
        <f t="shared" si="0"/>
        <v>3183.0988618379065</v>
      </c>
      <c r="F31" s="111">
        <f t="shared" si="1"/>
        <v>0.35</v>
      </c>
      <c r="G31" s="25"/>
      <c r="H31" s="113">
        <f t="shared" si="2"/>
        <v>0.3814159265358979</v>
      </c>
      <c r="J31" s="113">
        <f t="shared" si="3"/>
        <v>0.53141592653589798</v>
      </c>
      <c r="L31" s="71">
        <v>45</v>
      </c>
      <c r="M31" s="83">
        <f t="shared" si="4"/>
        <v>0.35</v>
      </c>
    </row>
    <row r="32" spans="2:13" x14ac:dyDescent="0.25">
      <c r="B32" s="16">
        <v>42.5</v>
      </c>
      <c r="C32" s="6">
        <f t="shared" si="5"/>
        <v>3.0062600361802447</v>
      </c>
      <c r="D32" s="6">
        <f t="shared" si="0"/>
        <v>3006.2600361802447</v>
      </c>
      <c r="F32" s="111">
        <f t="shared" si="1"/>
        <v>0.35</v>
      </c>
      <c r="G32" s="25"/>
      <c r="H32" s="113">
        <f t="shared" si="2"/>
        <v>0.38326392221448013</v>
      </c>
      <c r="J32" s="113">
        <f t="shared" si="3"/>
        <v>0.53326392221448016</v>
      </c>
      <c r="L32" s="71">
        <v>42.5</v>
      </c>
      <c r="M32" s="83">
        <f t="shared" si="4"/>
        <v>0.35</v>
      </c>
    </row>
    <row r="33" spans="2:13" x14ac:dyDescent="0.25">
      <c r="B33" s="16">
        <v>40</v>
      </c>
      <c r="C33" s="6">
        <f t="shared" si="5"/>
        <v>2.8294212105225838</v>
      </c>
      <c r="D33" s="6">
        <f t="shared" si="0"/>
        <v>2829.4212105225838</v>
      </c>
      <c r="F33" s="111">
        <f t="shared" si="1"/>
        <v>0.35</v>
      </c>
      <c r="G33" s="25"/>
      <c r="H33" s="113">
        <f t="shared" si="2"/>
        <v>0.38534291735288517</v>
      </c>
      <c r="J33" s="113">
        <f t="shared" si="3"/>
        <v>0.53534291735288519</v>
      </c>
      <c r="L33" s="71">
        <v>40</v>
      </c>
      <c r="M33" s="83">
        <f t="shared" si="4"/>
        <v>0.35</v>
      </c>
    </row>
    <row r="34" spans="2:13" x14ac:dyDescent="0.25">
      <c r="B34" s="16">
        <v>37.5</v>
      </c>
      <c r="C34" s="6">
        <f t="shared" si="5"/>
        <v>2.6525823848649219</v>
      </c>
      <c r="D34" s="6">
        <f t="shared" si="0"/>
        <v>2652.582384864922</v>
      </c>
      <c r="F34" s="111">
        <f t="shared" si="1"/>
        <v>0.35</v>
      </c>
      <c r="G34" s="25"/>
      <c r="H34" s="113">
        <f t="shared" si="2"/>
        <v>0.38769911184307748</v>
      </c>
      <c r="J34" s="113">
        <f t="shared" si="3"/>
        <v>0.5376991118430775</v>
      </c>
      <c r="L34" s="71">
        <v>37.5</v>
      </c>
      <c r="M34" s="83">
        <f t="shared" si="4"/>
        <v>0.35</v>
      </c>
    </row>
    <row r="35" spans="2:13" x14ac:dyDescent="0.25">
      <c r="B35" s="16">
        <v>35</v>
      </c>
      <c r="C35" s="6">
        <f t="shared" si="5"/>
        <v>2.4757435592072605</v>
      </c>
      <c r="D35" s="6">
        <f t="shared" si="0"/>
        <v>2475.7435592072607</v>
      </c>
      <c r="F35" s="111">
        <f t="shared" si="1"/>
        <v>0.35</v>
      </c>
      <c r="G35" s="25"/>
      <c r="H35" s="113">
        <f t="shared" si="2"/>
        <v>0.39039190554615444</v>
      </c>
      <c r="J35" s="113">
        <f t="shared" si="3"/>
        <v>0.54039190554615446</v>
      </c>
      <c r="L35" s="71">
        <v>35</v>
      </c>
      <c r="M35" s="83">
        <f t="shared" si="4"/>
        <v>0.35</v>
      </c>
    </row>
    <row r="36" spans="2:13" x14ac:dyDescent="0.25">
      <c r="B36" s="16">
        <v>32.5</v>
      </c>
      <c r="C36" s="6">
        <f t="shared" si="5"/>
        <v>2.2989047335495991</v>
      </c>
      <c r="D36" s="6">
        <f t="shared" si="0"/>
        <v>2298.9047335495993</v>
      </c>
      <c r="F36" s="111">
        <f t="shared" si="1"/>
        <v>0.35</v>
      </c>
      <c r="G36" s="25"/>
      <c r="H36" s="113">
        <f t="shared" si="2"/>
        <v>0.39349897520355098</v>
      </c>
      <c r="J36" s="113">
        <f t="shared" si="3"/>
        <v>0.54349897520355095</v>
      </c>
      <c r="L36" s="71">
        <v>32.5</v>
      </c>
      <c r="M36" s="83">
        <f t="shared" si="4"/>
        <v>0.35</v>
      </c>
    </row>
    <row r="37" spans="2:13" x14ac:dyDescent="0.25">
      <c r="B37" s="16">
        <v>30</v>
      </c>
      <c r="C37" s="6">
        <f t="shared" si="5"/>
        <v>2.1220659078919377</v>
      </c>
      <c r="D37" s="6">
        <f t="shared" si="0"/>
        <v>2122.0659078919375</v>
      </c>
      <c r="F37" s="111">
        <f t="shared" si="1"/>
        <v>0.35</v>
      </c>
      <c r="G37" s="25"/>
      <c r="H37" s="113">
        <f t="shared" si="2"/>
        <v>0.39712388980384689</v>
      </c>
      <c r="J37" s="113">
        <f t="shared" si="3"/>
        <v>0.54712388980384685</v>
      </c>
      <c r="L37" s="71">
        <v>30</v>
      </c>
      <c r="M37" s="83">
        <f t="shared" si="4"/>
        <v>0.35</v>
      </c>
    </row>
    <row r="38" spans="2:13" x14ac:dyDescent="0.25">
      <c r="B38" s="16">
        <v>27.5</v>
      </c>
      <c r="C38" s="6">
        <f t="shared" si="5"/>
        <v>1.9452270822342763</v>
      </c>
      <c r="D38" s="6">
        <f t="shared" si="0"/>
        <v>1945.2270822342764</v>
      </c>
      <c r="F38" s="111">
        <f t="shared" si="1"/>
        <v>0.35</v>
      </c>
      <c r="G38" s="25"/>
      <c r="H38" s="113">
        <f t="shared" si="2"/>
        <v>0.40140787978601478</v>
      </c>
      <c r="J38" s="113">
        <f t="shared" si="3"/>
        <v>0.5514078797860148</v>
      </c>
      <c r="L38" s="71">
        <v>27.5</v>
      </c>
      <c r="M38" s="83">
        <f t="shared" si="4"/>
        <v>0.35</v>
      </c>
    </row>
    <row r="39" spans="2:13" x14ac:dyDescent="0.25">
      <c r="B39" s="16">
        <v>25</v>
      </c>
      <c r="C39" s="6">
        <f t="shared" si="5"/>
        <v>1.7683882565766147</v>
      </c>
      <c r="D39" s="6">
        <f t="shared" si="0"/>
        <v>1768.3882565766146</v>
      </c>
      <c r="F39" s="111">
        <f t="shared" si="1"/>
        <v>0.35</v>
      </c>
      <c r="G39" s="25"/>
      <c r="H39" s="113">
        <f t="shared" si="2"/>
        <v>0.40654866776461629</v>
      </c>
      <c r="J39" s="113">
        <f t="shared" si="3"/>
        <v>0.55654866776461631</v>
      </c>
      <c r="L39" s="71">
        <v>25</v>
      </c>
      <c r="M39" s="83">
        <f t="shared" si="4"/>
        <v>0.35</v>
      </c>
    </row>
    <row r="40" spans="2:13" x14ac:dyDescent="0.25">
      <c r="B40" s="16">
        <v>22.5</v>
      </c>
      <c r="C40" s="6">
        <f t="shared" si="5"/>
        <v>1.5915494309189533</v>
      </c>
      <c r="D40" s="6">
        <f t="shared" si="0"/>
        <v>1591.5494309189532</v>
      </c>
      <c r="F40" s="111">
        <f t="shared" si="1"/>
        <v>0.35</v>
      </c>
      <c r="G40" s="25"/>
      <c r="H40" s="113">
        <f t="shared" si="2"/>
        <v>0.41283185307179582</v>
      </c>
      <c r="J40" s="113">
        <f t="shared" si="3"/>
        <v>0.56283185307179584</v>
      </c>
      <c r="L40" s="71">
        <v>22.5</v>
      </c>
      <c r="M40" s="83">
        <f t="shared" si="4"/>
        <v>0.35</v>
      </c>
    </row>
    <row r="41" spans="2:13" x14ac:dyDescent="0.25">
      <c r="B41" s="16">
        <v>20</v>
      </c>
      <c r="C41" s="6">
        <f t="shared" si="5"/>
        <v>1.4147106052612919</v>
      </c>
      <c r="D41" s="6">
        <f t="shared" si="0"/>
        <v>1414.7106052612919</v>
      </c>
      <c r="F41" s="111">
        <f t="shared" si="1"/>
        <v>0.35</v>
      </c>
      <c r="G41" s="25"/>
      <c r="H41" s="113">
        <f t="shared" si="2"/>
        <v>0.42068583470577031</v>
      </c>
      <c r="J41" s="113">
        <f t="shared" si="3"/>
        <v>0.57068583470577039</v>
      </c>
      <c r="L41" s="71">
        <v>20</v>
      </c>
      <c r="M41" s="83">
        <f t="shared" si="4"/>
        <v>0.35</v>
      </c>
    </row>
    <row r="42" spans="2:13" x14ac:dyDescent="0.25">
      <c r="B42" s="16">
        <v>17.5</v>
      </c>
      <c r="C42" s="6">
        <f t="shared" si="5"/>
        <v>1.2378717796036303</v>
      </c>
      <c r="D42" s="6">
        <f t="shared" si="0"/>
        <v>1237.8717796036303</v>
      </c>
      <c r="F42" s="111">
        <f t="shared" si="1"/>
        <v>0.35</v>
      </c>
      <c r="G42" s="25"/>
      <c r="H42" s="113">
        <f t="shared" si="2"/>
        <v>0.43078381109230895</v>
      </c>
      <c r="J42" s="113">
        <f t="shared" si="3"/>
        <v>0.58078381109230892</v>
      </c>
      <c r="L42" s="71">
        <v>17.5</v>
      </c>
      <c r="M42" s="83">
        <f t="shared" si="4"/>
        <v>0.35</v>
      </c>
    </row>
    <row r="43" spans="2:13" x14ac:dyDescent="0.25">
      <c r="B43" s="16">
        <v>15</v>
      </c>
      <c r="C43" s="6">
        <f t="shared" si="5"/>
        <v>1.0610329539459689</v>
      </c>
      <c r="D43" s="6">
        <f t="shared" si="0"/>
        <v>1061.0329539459688</v>
      </c>
      <c r="F43" s="111">
        <f t="shared" si="1"/>
        <v>0.35</v>
      </c>
      <c r="G43" s="25"/>
      <c r="H43" s="113">
        <f t="shared" si="2"/>
        <v>0.44424777960769379</v>
      </c>
      <c r="J43" s="113">
        <f t="shared" si="3"/>
        <v>0.59424777960769382</v>
      </c>
      <c r="L43" s="71">
        <v>15</v>
      </c>
      <c r="M43" s="83">
        <f t="shared" si="4"/>
        <v>0.35</v>
      </c>
    </row>
    <row r="44" spans="2:13" x14ac:dyDescent="0.25">
      <c r="B44" s="16">
        <v>12.5</v>
      </c>
      <c r="C44" s="6">
        <f t="shared" si="5"/>
        <v>0.88419412828830735</v>
      </c>
      <c r="D44" s="6">
        <f t="shared" si="0"/>
        <v>884.1941282883073</v>
      </c>
      <c r="F44" s="111">
        <f t="shared" si="1"/>
        <v>0.35</v>
      </c>
      <c r="G44" s="25"/>
      <c r="H44" s="113">
        <f t="shared" si="2"/>
        <v>0.46309733552923255</v>
      </c>
      <c r="J44" s="113">
        <f t="shared" si="3"/>
        <v>0.60357520395261866</v>
      </c>
      <c r="L44" s="71">
        <v>12.5</v>
      </c>
      <c r="M44" s="83">
        <f t="shared" si="4"/>
        <v>0.35</v>
      </c>
    </row>
    <row r="45" spans="2:13" x14ac:dyDescent="0.25">
      <c r="B45" s="16">
        <v>10</v>
      </c>
      <c r="C45" s="6">
        <f t="shared" si="5"/>
        <v>0.70735530263064594</v>
      </c>
      <c r="D45" s="6">
        <f t="shared" si="0"/>
        <v>707.35530263064595</v>
      </c>
      <c r="F45" s="111">
        <f t="shared" si="1"/>
        <v>0.35</v>
      </c>
      <c r="G45" s="25"/>
      <c r="H45" s="113">
        <f t="shared" si="2"/>
        <v>0.49137166941154065</v>
      </c>
      <c r="J45" s="113">
        <f t="shared" si="3"/>
        <v>0.65446900494077331</v>
      </c>
      <c r="L45" s="71">
        <v>10</v>
      </c>
      <c r="M45" s="83">
        <f t="shared" si="4"/>
        <v>0.35</v>
      </c>
    </row>
    <row r="46" spans="2:13" x14ac:dyDescent="0.25">
      <c r="B46" s="16">
        <v>9</v>
      </c>
      <c r="C46" s="6">
        <f t="shared" si="5"/>
        <v>0.63661977236758127</v>
      </c>
      <c r="D46" s="6">
        <f t="shared" si="0"/>
        <v>636.61977236758128</v>
      </c>
      <c r="F46" s="111">
        <f t="shared" si="1"/>
        <v>0.35</v>
      </c>
      <c r="G46" s="25"/>
      <c r="H46" s="113">
        <f t="shared" si="2"/>
        <v>0.50707963267948963</v>
      </c>
      <c r="J46" s="113">
        <f t="shared" si="3"/>
        <v>0.68274333882308147</v>
      </c>
      <c r="L46" s="71">
        <v>9</v>
      </c>
      <c r="M46" s="83">
        <f t="shared" si="4"/>
        <v>0.35</v>
      </c>
    </row>
    <row r="47" spans="2:13" x14ac:dyDescent="0.25">
      <c r="B47" s="16">
        <v>8</v>
      </c>
      <c r="C47" s="6">
        <f t="shared" si="5"/>
        <v>0.56588424210451671</v>
      </c>
      <c r="D47" s="6">
        <f t="shared" si="0"/>
        <v>565.88424210451672</v>
      </c>
      <c r="F47" s="111">
        <f t="shared" si="1"/>
        <v>0.35</v>
      </c>
      <c r="G47" s="25"/>
      <c r="H47" s="113">
        <f t="shared" si="2"/>
        <v>0.52671458676442584</v>
      </c>
      <c r="J47" s="113">
        <f t="shared" si="3"/>
        <v>0.71808625617596666</v>
      </c>
      <c r="L47" s="71">
        <v>8</v>
      </c>
      <c r="M47" s="83">
        <f t="shared" si="4"/>
        <v>0.35</v>
      </c>
    </row>
    <row r="48" spans="2:13" x14ac:dyDescent="0.25">
      <c r="B48" s="16">
        <v>7</v>
      </c>
      <c r="C48" s="6">
        <f t="shared" si="5"/>
        <v>0.49514871184145215</v>
      </c>
      <c r="D48" s="6">
        <f t="shared" si="0"/>
        <v>495.14871184145215</v>
      </c>
      <c r="F48" s="111">
        <f t="shared" si="1"/>
        <v>0.35</v>
      </c>
      <c r="G48" s="25"/>
      <c r="H48" s="113">
        <f t="shared" si="2"/>
        <v>0.55195952773077239</v>
      </c>
      <c r="J48" s="113">
        <f t="shared" si="3"/>
        <v>0.76352714991539039</v>
      </c>
      <c r="L48" s="71">
        <v>7</v>
      </c>
      <c r="M48" s="83">
        <f t="shared" si="4"/>
        <v>0.35</v>
      </c>
    </row>
    <row r="49" spans="2:13" x14ac:dyDescent="0.25">
      <c r="B49" s="16">
        <v>6</v>
      </c>
      <c r="C49" s="6">
        <f t="shared" si="5"/>
        <v>0.42441318157838753</v>
      </c>
      <c r="D49" s="6">
        <f t="shared" si="0"/>
        <v>424.41318157838754</v>
      </c>
      <c r="F49" s="111">
        <f t="shared" si="1"/>
        <v>0.35</v>
      </c>
      <c r="G49" s="25"/>
      <c r="H49" s="113">
        <f t="shared" si="2"/>
        <v>0.58561944901923446</v>
      </c>
      <c r="J49" s="113">
        <f t="shared" si="3"/>
        <v>0.82411500823462214</v>
      </c>
      <c r="L49" s="71">
        <v>6</v>
      </c>
      <c r="M49" s="83">
        <f t="shared" si="4"/>
        <v>0.35</v>
      </c>
    </row>
    <row r="50" spans="2:13" x14ac:dyDescent="0.25">
      <c r="B50" s="16">
        <v>5</v>
      </c>
      <c r="C50" s="6">
        <f t="shared" si="5"/>
        <v>0.35367765131532297</v>
      </c>
      <c r="D50" s="6">
        <f t="shared" si="0"/>
        <v>353.67765131532298</v>
      </c>
      <c r="F50" s="111">
        <f t="shared" si="1"/>
        <v>0.35</v>
      </c>
      <c r="G50" s="25"/>
      <c r="H50" s="113">
        <f t="shared" si="2"/>
        <v>0.63274333882308142</v>
      </c>
      <c r="J50" s="113">
        <f t="shared" si="3"/>
        <v>0.9089380098815466</v>
      </c>
      <c r="L50" s="71">
        <v>5</v>
      </c>
      <c r="M50" s="83">
        <f t="shared" si="4"/>
        <v>0.35</v>
      </c>
    </row>
    <row r="51" spans="2:13" x14ac:dyDescent="0.25">
      <c r="B51" s="16">
        <v>4</v>
      </c>
      <c r="C51" s="6">
        <f t="shared" si="5"/>
        <v>0.28294212105225836</v>
      </c>
      <c r="D51" s="6">
        <f t="shared" si="0"/>
        <v>282.94212105225836</v>
      </c>
      <c r="F51" s="111">
        <f t="shared" si="1"/>
        <v>0.35342917352885178</v>
      </c>
      <c r="G51" s="25"/>
      <c r="H51" s="113">
        <f t="shared" si="2"/>
        <v>0.70685834705770356</v>
      </c>
      <c r="J51" s="113">
        <f t="shared" si="3"/>
        <v>1.0602875205865554</v>
      </c>
      <c r="L51" s="71">
        <v>4</v>
      </c>
      <c r="M51" s="83">
        <f t="shared" si="4"/>
        <v>0.35342917352885178</v>
      </c>
    </row>
    <row r="52" spans="2:13" x14ac:dyDescent="0.25">
      <c r="B52" s="16">
        <v>3</v>
      </c>
      <c r="C52" s="6">
        <f t="shared" si="5"/>
        <v>0.21220659078919377</v>
      </c>
      <c r="D52" s="6">
        <f t="shared" si="0"/>
        <v>212.20659078919377</v>
      </c>
      <c r="F52" s="111">
        <f t="shared" si="1"/>
        <v>0.47123889803846897</v>
      </c>
      <c r="G52" s="25"/>
      <c r="H52" s="113">
        <f t="shared" si="2"/>
        <v>0.94247779607693793</v>
      </c>
      <c r="J52" s="113">
        <f t="shared" si="3"/>
        <v>1.4137166941154071</v>
      </c>
      <c r="L52" s="71">
        <v>3</v>
      </c>
      <c r="M52" s="83">
        <f t="shared" si="4"/>
        <v>0.47123889803846897</v>
      </c>
    </row>
    <row r="53" spans="2:13" x14ac:dyDescent="0.25">
      <c r="B53" s="16">
        <v>2</v>
      </c>
      <c r="C53" s="6">
        <f t="shared" si="5"/>
        <v>0.14147106052612918</v>
      </c>
      <c r="D53" s="6">
        <f t="shared" si="0"/>
        <v>141.47106052612918</v>
      </c>
      <c r="F53" s="111">
        <f t="shared" si="1"/>
        <v>0.70685834705770356</v>
      </c>
      <c r="G53" s="25"/>
      <c r="H53" s="113">
        <f t="shared" si="2"/>
        <v>1.4137166941154071</v>
      </c>
      <c r="J53" s="113">
        <f t="shared" si="3"/>
        <v>2.1205750411731108</v>
      </c>
      <c r="L53" s="71">
        <v>2</v>
      </c>
      <c r="M53" s="83">
        <f t="shared" si="4"/>
        <v>0.70685834705770356</v>
      </c>
    </row>
    <row r="54" spans="2:13" ht="15.75" thickBot="1" x14ac:dyDescent="0.3">
      <c r="B54" s="17">
        <v>1</v>
      </c>
      <c r="C54" s="6">
        <f t="shared" si="5"/>
        <v>7.0735530263064589E-2</v>
      </c>
      <c r="D54" s="6">
        <f t="shared" si="0"/>
        <v>70.735530263064589</v>
      </c>
      <c r="F54" s="112">
        <f t="shared" si="1"/>
        <v>1.4137166941154071</v>
      </c>
      <c r="G54" s="25"/>
      <c r="H54" s="114">
        <f t="shared" si="2"/>
        <v>2.8274333882308142</v>
      </c>
      <c r="J54" s="114">
        <f t="shared" si="3"/>
        <v>4.2411500823462216</v>
      </c>
      <c r="L54" s="72">
        <v>1</v>
      </c>
      <c r="M54" s="84">
        <f t="shared" si="4"/>
        <v>1.4137166941154071</v>
      </c>
    </row>
  </sheetData>
  <sheetProtection password="C795" sheet="1" objects="1" scenarios="1" selectLockedCells="1" selectUnlockedCells="1"/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Type xmlns="15810185-2AD0-43C9-A248-EBAA9F73E84F">Technical Information</Document_x0020_Type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018115D02AC943A248EBAA9F73E84F" ma:contentTypeVersion="0" ma:contentTypeDescription="Create a new document." ma:contentTypeScope="" ma:versionID="461e7ed08bb730855f46b1a05e7f1df0">
  <xsd:schema xmlns:xsd="http://www.w3.org/2001/XMLSchema" xmlns:p="http://schemas.microsoft.com/office/2006/metadata/properties" xmlns:ns2="15810185-2AD0-43C9-A248-EBAA9F73E84F" targetNamespace="http://schemas.microsoft.com/office/2006/metadata/properties" ma:root="true" ma:fieldsID="e8979fc1b06a4acfe79e58f119f4e4fb" ns2:_="">
    <xsd:import namespace="15810185-2AD0-43C9-A248-EBAA9F73E84F"/>
    <xsd:element name="properties">
      <xsd:complexType>
        <xsd:sequence>
          <xsd:element name="documentManagement">
            <xsd:complexType>
              <xsd:all>
                <xsd:element ref="ns2:Document_x0020_Typ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15810185-2AD0-43C9-A248-EBAA9F73E84F" elementFormDefault="qualified">
    <xsd:import namespace="http://schemas.microsoft.com/office/2006/documentManagement/types"/>
    <xsd:element name="Document_x0020_Type" ma:index="8" nillable="true" ma:displayName="Category" ma:format="Dropdown" ma:internalName="Document_x0020_Type">
      <xsd:simpleType>
        <xsd:restriction base="dms:Choice">
          <xsd:enumeration value="GS Sheet"/>
          <xsd:enumeration value="Instruction Manual"/>
          <xsd:enumeration value="Service Notes"/>
          <xsd:enumeration value="Misc"/>
          <xsd:enumeration value="Bulletin"/>
          <xsd:enumeration value="Technical Information"/>
          <xsd:enumeration value="CMPL"/>
          <xsd:enumeration value="Standard Drawings"/>
          <xsd:enumeration value="QIC"/>
          <xsd:enumeration value="QIS"/>
          <xsd:enumeration value="Imag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70E740F-AFD4-41CC-BD39-356944097C92}">
  <ds:schemaRefs>
    <ds:schemaRef ds:uri="http://schemas.openxmlformats.org/package/2006/metadata/core-properties"/>
    <ds:schemaRef ds:uri="15810185-2AD0-43C9-A248-EBAA9F73E84F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88F521A-EF4A-47AB-8B31-E82528146F6C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7EB5BC1F-AFD0-458E-AACA-CB9E23E8B4B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D1BE345-4746-429B-84E1-A9BEC7AEA5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810185-2AD0-43C9-A248-EBAA9F73E84F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 entry</vt:lpstr>
      <vt:lpstr>AXW Accuracy Estimation</vt:lpstr>
      <vt:lpstr>AXW Calculator</vt:lpstr>
      <vt:lpstr>'AXW Accuracy Estimation'!Print_Area</vt:lpstr>
      <vt:lpstr>size</vt:lpstr>
    </vt:vector>
  </TitlesOfParts>
  <Company>Yokogawa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AXW Accuracy Rev 0</dc:title>
  <dc:creator>Simon Lillie</dc:creator>
  <cp:lastModifiedBy>Simon Lillie</cp:lastModifiedBy>
  <cp:lastPrinted>2018-05-10T00:58:28Z</cp:lastPrinted>
  <dcterms:created xsi:type="dcterms:W3CDTF">2002-10-24T23:50:17Z</dcterms:created>
  <dcterms:modified xsi:type="dcterms:W3CDTF">2019-12-17T04:58:46Z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