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AlgorithmName="SHA-512" workbookHashValue="gTJgKBL6+JeV+uG5b+G1DuMxM1q6baxT3RPw1QxIQ7uiACrIdoSPTsUswgSqv6Rwrn1Lp2LmXlnBvGWkNp2xqw==" workbookSaltValue="klWQsgikeV+ckzS3NMYeTg==" workbookSpinCount="100000" lockStructure="1"/>
  <bookViews>
    <workbookView xWindow="-495" yWindow="3765" windowWidth="18570" windowHeight="6960"/>
  </bookViews>
  <sheets>
    <sheet name="Accuracy Statement" sheetId="2" r:id="rId1"/>
    <sheet name="Area Calc for Velocity value" sheetId="7" state="hidden" r:id="rId2"/>
    <sheet name="AXF Calculator" sheetId="4" state="hidden" r:id="rId3"/>
  </sheets>
  <definedNames>
    <definedName name="_xlnm.Print_Area" localSheetId="0">'Accuracy Statement'!$B$1:$L$68</definedName>
    <definedName name="_xlnm.Print_Area" localSheetId="1">'Area Calc for Velocity value'!$B$1:$L$34</definedName>
    <definedName name="Productlist">'AXF Calculator'!$AQ$5:$AQ$12</definedName>
    <definedName name="productlist1">'AXF Calculator'!$AQ$5:$AQ$13</definedName>
    <definedName name="size">'AXF Calculator'!$C$3</definedName>
    <definedName name="Z_D077CF75_1ABC_4168_8431_707ED1B23269_.wvu.PrintArea" localSheetId="0" hidden="1">'Accuracy Statement'!$A$1:$K$58</definedName>
    <definedName name="Z_D077CF75_1ABC_4168_8431_707ED1B23269_.wvu.PrintArea" localSheetId="1" hidden="1">'Area Calc for Velocity value'!$A$1:$M$34</definedName>
  </definedNames>
  <calcPr calcId="145621"/>
  <customWorkbookViews>
    <customWorkbookView name="Sam" guid="{D077CF75-1ABC-4168-8431-707ED1B23269}" includeHiddenRowCol="0" maximized="1" windowWidth="1063" windowHeight="520" activeSheetId="2"/>
  </customWorkbookViews>
</workbook>
</file>

<file path=xl/calcChain.xml><?xml version="1.0" encoding="utf-8"?>
<calcChain xmlns="http://schemas.openxmlformats.org/spreadsheetml/2006/main">
  <c r="F9" i="2" l="1"/>
  <c r="P38" i="7"/>
  <c r="C2" i="7"/>
  <c r="C4" i="7" s="1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38" i="7"/>
  <c r="D27" i="7"/>
  <c r="J27" i="7" s="1"/>
  <c r="K27" i="7" s="1"/>
  <c r="L27" i="7" s="1"/>
  <c r="M27" i="7" s="1"/>
  <c r="D26" i="7"/>
  <c r="J26" i="7" s="1"/>
  <c r="K26" i="7" s="1"/>
  <c r="L26" i="7" s="1"/>
  <c r="M26" i="7" s="1"/>
  <c r="D25" i="7"/>
  <c r="E25" i="7" s="1"/>
  <c r="F25" i="7" s="1"/>
  <c r="D24" i="7"/>
  <c r="E24" i="7" s="1"/>
  <c r="F24" i="7" s="1"/>
  <c r="D23" i="7"/>
  <c r="J23" i="7" s="1"/>
  <c r="K23" i="7" s="1"/>
  <c r="L23" i="7" s="1"/>
  <c r="M23" i="7" s="1"/>
  <c r="D22" i="7"/>
  <c r="J22" i="7" s="1"/>
  <c r="K22" i="7" s="1"/>
  <c r="L22" i="7" s="1"/>
  <c r="D21" i="7"/>
  <c r="J21" i="7" s="1"/>
  <c r="K21" i="7" s="1"/>
  <c r="L21" i="7" s="1"/>
  <c r="M21" i="7" s="1"/>
  <c r="D20" i="7"/>
  <c r="E20" i="7" s="1"/>
  <c r="F20" i="7" s="1"/>
  <c r="D19" i="7"/>
  <c r="J19" i="7" s="1"/>
  <c r="K19" i="7" s="1"/>
  <c r="L19" i="7" s="1"/>
  <c r="M19" i="7" s="1"/>
  <c r="D18" i="7"/>
  <c r="E18" i="7" s="1"/>
  <c r="F18" i="7" s="1"/>
  <c r="D17" i="7"/>
  <c r="J17" i="7" s="1"/>
  <c r="K17" i="7" s="1"/>
  <c r="L17" i="7" s="1"/>
  <c r="M17" i="7" s="1"/>
  <c r="D16" i="7"/>
  <c r="E16" i="7" s="1"/>
  <c r="F16" i="7" s="1"/>
  <c r="D15" i="7"/>
  <c r="E15" i="7" s="1"/>
  <c r="F15" i="7" s="1"/>
  <c r="D14" i="7"/>
  <c r="E14" i="7" s="1"/>
  <c r="F14" i="7" s="1"/>
  <c r="D13" i="7"/>
  <c r="E13" i="7" s="1"/>
  <c r="F13" i="7" s="1"/>
  <c r="D12" i="7"/>
  <c r="E12" i="7" s="1"/>
  <c r="F12" i="7" s="1"/>
  <c r="D11" i="7"/>
  <c r="J11" i="7" s="1"/>
  <c r="K11" i="7" s="1"/>
  <c r="L11" i="7" s="1"/>
  <c r="M11" i="7" s="1"/>
  <c r="D10" i="7"/>
  <c r="E10" i="7" s="1"/>
  <c r="F10" i="7" s="1"/>
  <c r="D9" i="7"/>
  <c r="E9" i="7" s="1"/>
  <c r="F9" i="7" s="1"/>
  <c r="D8" i="7"/>
  <c r="E8" i="7" s="1"/>
  <c r="F8" i="7" s="1"/>
  <c r="D7" i="7"/>
  <c r="E7" i="7" s="1"/>
  <c r="F7" i="7" s="1"/>
  <c r="D6" i="7"/>
  <c r="E6" i="7" s="1"/>
  <c r="F6" i="7" s="1"/>
  <c r="D5" i="7"/>
  <c r="J5" i="7" s="1"/>
  <c r="K5" i="7" s="1"/>
  <c r="L5" i="7" s="1"/>
  <c r="M5" i="7" s="1"/>
  <c r="D4" i="7"/>
  <c r="E4" i="7" s="1"/>
  <c r="F4" i="7" s="1"/>
  <c r="D3" i="7"/>
  <c r="E3" i="7" s="1"/>
  <c r="F3" i="7" s="1"/>
  <c r="P21" i="7" l="1"/>
  <c r="C3" i="4" s="1"/>
  <c r="AN56" i="4" s="1"/>
  <c r="AN59" i="4" s="1"/>
  <c r="C26" i="7"/>
  <c r="C22" i="7"/>
  <c r="C14" i="7"/>
  <c r="C8" i="7"/>
  <c r="C27" i="7"/>
  <c r="C15" i="7"/>
  <c r="C24" i="7"/>
  <c r="C11" i="7"/>
  <c r="C23" i="7"/>
  <c r="C10" i="7"/>
  <c r="C19" i="7"/>
  <c r="C7" i="7"/>
  <c r="C18" i="7"/>
  <c r="C6" i="7"/>
  <c r="C16" i="7"/>
  <c r="C25" i="7"/>
  <c r="C17" i="7"/>
  <c r="C9" i="7"/>
  <c r="C21" i="7"/>
  <c r="C13" i="7"/>
  <c r="C5" i="7"/>
  <c r="C3" i="7"/>
  <c r="C20" i="7"/>
  <c r="C12" i="7"/>
  <c r="M22" i="7"/>
  <c r="J9" i="7"/>
  <c r="K9" i="7" s="1"/>
  <c r="L9" i="7" s="1"/>
  <c r="M9" i="7" s="1"/>
  <c r="J20" i="7"/>
  <c r="K20" i="7" s="1"/>
  <c r="L20" i="7" s="1"/>
  <c r="M20" i="7" s="1"/>
  <c r="J25" i="7"/>
  <c r="K25" i="7" s="1"/>
  <c r="L25" i="7" s="1"/>
  <c r="M25" i="7" s="1"/>
  <c r="J14" i="7"/>
  <c r="K14" i="7" s="1"/>
  <c r="L14" i="7" s="1"/>
  <c r="M14" i="7" s="1"/>
  <c r="J18" i="7"/>
  <c r="K18" i="7" s="1"/>
  <c r="L18" i="7" s="1"/>
  <c r="M18" i="7" s="1"/>
  <c r="E21" i="7"/>
  <c r="F21" i="7" s="1"/>
  <c r="H21" i="7" s="1"/>
  <c r="E27" i="7"/>
  <c r="F27" i="7" s="1"/>
  <c r="H27" i="7" s="1"/>
  <c r="J12" i="7"/>
  <c r="K12" i="7" s="1"/>
  <c r="L12" i="7" s="1"/>
  <c r="M12" i="7" s="1"/>
  <c r="J13" i="7"/>
  <c r="K13" i="7" s="1"/>
  <c r="L13" i="7" s="1"/>
  <c r="M13" i="7" s="1"/>
  <c r="J6" i="7"/>
  <c r="K6" i="7" s="1"/>
  <c r="L6" i="7" s="1"/>
  <c r="M6" i="7" s="1"/>
  <c r="J3" i="7"/>
  <c r="K3" i="7" s="1"/>
  <c r="L3" i="7" s="1"/>
  <c r="M3" i="7" s="1"/>
  <c r="J10" i="7"/>
  <c r="K10" i="7" s="1"/>
  <c r="L10" i="7" s="1"/>
  <c r="M10" i="7" s="1"/>
  <c r="J4" i="7"/>
  <c r="K4" i="7" s="1"/>
  <c r="L4" i="7" s="1"/>
  <c r="M4" i="7" s="1"/>
  <c r="E17" i="7"/>
  <c r="F17" i="7" s="1"/>
  <c r="H17" i="7" s="1"/>
  <c r="E23" i="7"/>
  <c r="F23" i="7" s="1"/>
  <c r="H23" i="7" s="1"/>
  <c r="E26" i="7"/>
  <c r="F26" i="7" s="1"/>
  <c r="H26" i="7" s="1"/>
  <c r="H16" i="7"/>
  <c r="G16" i="7"/>
  <c r="I16" i="7" s="1"/>
  <c r="H8" i="7"/>
  <c r="G8" i="7"/>
  <c r="I8" i="7" s="1"/>
  <c r="G14" i="7"/>
  <c r="I14" i="7" s="1"/>
  <c r="H14" i="7"/>
  <c r="G20" i="7"/>
  <c r="I20" i="7" s="1"/>
  <c r="H20" i="7"/>
  <c r="H13" i="7"/>
  <c r="G13" i="7"/>
  <c r="I13" i="7" s="1"/>
  <c r="H6" i="7"/>
  <c r="G6" i="7"/>
  <c r="I6" i="7" s="1"/>
  <c r="G12" i="7"/>
  <c r="I12" i="7" s="1"/>
  <c r="H12" i="7"/>
  <c r="H15" i="7"/>
  <c r="G15" i="7"/>
  <c r="I15" i="7" s="1"/>
  <c r="G18" i="7"/>
  <c r="I18" i="7" s="1"/>
  <c r="H18" i="7"/>
  <c r="H24" i="7"/>
  <c r="G24" i="7"/>
  <c r="I24" i="7" s="1"/>
  <c r="G4" i="7"/>
  <c r="I4" i="7" s="1"/>
  <c r="H4" i="7"/>
  <c r="H9" i="7"/>
  <c r="G9" i="7"/>
  <c r="I9" i="7" s="1"/>
  <c r="G3" i="7"/>
  <c r="I3" i="7" s="1"/>
  <c r="H3" i="7"/>
  <c r="H7" i="7"/>
  <c r="G7" i="7"/>
  <c r="I7" i="7" s="1"/>
  <c r="G10" i="7"/>
  <c r="I10" i="7" s="1"/>
  <c r="H10" i="7"/>
  <c r="G25" i="7"/>
  <c r="I25" i="7" s="1"/>
  <c r="H25" i="7"/>
  <c r="E5" i="7"/>
  <c r="F5" i="7" s="1"/>
  <c r="J7" i="7"/>
  <c r="K7" i="7" s="1"/>
  <c r="J15" i="7"/>
  <c r="K15" i="7" s="1"/>
  <c r="L15" i="7" s="1"/>
  <c r="M15" i="7" s="1"/>
  <c r="J24" i="7"/>
  <c r="K24" i="7" s="1"/>
  <c r="L24" i="7" s="1"/>
  <c r="M24" i="7" s="1"/>
  <c r="E19" i="7"/>
  <c r="F19" i="7" s="1"/>
  <c r="E22" i="7"/>
  <c r="F22" i="7" s="1"/>
  <c r="J8" i="7"/>
  <c r="K8" i="7" s="1"/>
  <c r="L8" i="7" s="1"/>
  <c r="M8" i="7" s="1"/>
  <c r="J16" i="7"/>
  <c r="K16" i="7" s="1"/>
  <c r="L16" i="7" s="1"/>
  <c r="M16" i="7" s="1"/>
  <c r="E11" i="7"/>
  <c r="F11" i="7" s="1"/>
  <c r="C15" i="2"/>
  <c r="C17" i="2" s="1"/>
  <c r="C13" i="2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" i="4"/>
  <c r="Z51" i="4"/>
  <c r="T49" i="4" l="1"/>
  <c r="T47" i="4"/>
  <c r="T45" i="4"/>
  <c r="T43" i="4"/>
  <c r="T41" i="4"/>
  <c r="T39" i="4"/>
  <c r="T37" i="4"/>
  <c r="T35" i="4"/>
  <c r="T33" i="4"/>
  <c r="T31" i="4"/>
  <c r="T29" i="4"/>
  <c r="T27" i="4"/>
  <c r="T25" i="4"/>
  <c r="T23" i="4"/>
  <c r="T21" i="4"/>
  <c r="T19" i="4"/>
  <c r="T17" i="4"/>
  <c r="U50" i="4"/>
  <c r="U49" i="4"/>
  <c r="T48" i="4"/>
  <c r="U42" i="4"/>
  <c r="U41" i="4"/>
  <c r="T40" i="4"/>
  <c r="U34" i="4"/>
  <c r="U33" i="4"/>
  <c r="T32" i="4"/>
  <c r="U26" i="4"/>
  <c r="U25" i="4"/>
  <c r="T24" i="4"/>
  <c r="U18" i="4"/>
  <c r="U17" i="4"/>
  <c r="U16" i="4"/>
  <c r="U14" i="4"/>
  <c r="U12" i="4"/>
  <c r="U10" i="4"/>
  <c r="U8" i="4"/>
  <c r="U6" i="4"/>
  <c r="T50" i="4"/>
  <c r="U44" i="4"/>
  <c r="U43" i="4"/>
  <c r="T42" i="4"/>
  <c r="U36" i="4"/>
  <c r="U35" i="4"/>
  <c r="T34" i="4"/>
  <c r="U28" i="4"/>
  <c r="U27" i="4"/>
  <c r="T26" i="4"/>
  <c r="U20" i="4"/>
  <c r="U19" i="4"/>
  <c r="T18" i="4"/>
  <c r="T16" i="4"/>
  <c r="T14" i="4"/>
  <c r="T12" i="4"/>
  <c r="T10" i="4"/>
  <c r="U46" i="4"/>
  <c r="U45" i="4"/>
  <c r="T44" i="4"/>
  <c r="U38" i="4"/>
  <c r="U37" i="4"/>
  <c r="T36" i="4"/>
  <c r="U30" i="4"/>
  <c r="U29" i="4"/>
  <c r="T28" i="4"/>
  <c r="U22" i="4"/>
  <c r="U21" i="4"/>
  <c r="T20" i="4"/>
  <c r="U15" i="4"/>
  <c r="U13" i="4"/>
  <c r="U11" i="4"/>
  <c r="U9" i="4"/>
  <c r="U39" i="4"/>
  <c r="U24" i="4"/>
  <c r="T22" i="4"/>
  <c r="T11" i="4"/>
  <c r="T7" i="4"/>
  <c r="U47" i="4"/>
  <c r="U32" i="4"/>
  <c r="T30" i="4"/>
  <c r="T9" i="4"/>
  <c r="T8" i="4"/>
  <c r="T38" i="4"/>
  <c r="U23" i="4"/>
  <c r="U48" i="4"/>
  <c r="T46" i="4"/>
  <c r="U31" i="4"/>
  <c r="T13" i="4"/>
  <c r="U7" i="4"/>
  <c r="T6" i="4"/>
  <c r="T5" i="4"/>
  <c r="U40" i="4"/>
  <c r="T15" i="4"/>
  <c r="U5" i="4"/>
  <c r="P4" i="7"/>
  <c r="D9" i="2" s="1"/>
  <c r="G17" i="7"/>
  <c r="I17" i="7" s="1"/>
  <c r="G21" i="7"/>
  <c r="I21" i="7" s="1"/>
  <c r="G27" i="7"/>
  <c r="I27" i="7" s="1"/>
  <c r="G26" i="7"/>
  <c r="I26" i="7" s="1"/>
  <c r="G23" i="7"/>
  <c r="I23" i="7" s="1"/>
  <c r="H22" i="7"/>
  <c r="G22" i="7"/>
  <c r="I22" i="7" s="1"/>
  <c r="H19" i="7"/>
  <c r="G19" i="7"/>
  <c r="I19" i="7" s="1"/>
  <c r="H11" i="7"/>
  <c r="G11" i="7"/>
  <c r="I11" i="7" s="1"/>
  <c r="H5" i="7"/>
  <c r="G5" i="7"/>
  <c r="I5" i="7" s="1"/>
  <c r="L7" i="7"/>
  <c r="M7" i="7" s="1"/>
  <c r="C23" i="2"/>
  <c r="C22" i="2"/>
  <c r="C20" i="2"/>
  <c r="C21" i="2"/>
  <c r="C18" i="2"/>
  <c r="C19" i="2"/>
  <c r="C16" i="2"/>
  <c r="C24" i="2"/>
  <c r="C25" i="2"/>
  <c r="F10" i="2" l="1"/>
  <c r="C5" i="4"/>
  <c r="AL5" i="4" l="1"/>
  <c r="W5" i="4"/>
  <c r="AN5" i="4"/>
  <c r="AM5" i="4"/>
  <c r="O5" i="4"/>
  <c r="E5" i="4"/>
  <c r="D10" i="2"/>
  <c r="C6" i="4" l="1"/>
  <c r="W6" i="4" s="1"/>
  <c r="C24" i="4"/>
  <c r="C34" i="4"/>
  <c r="C26" i="4"/>
  <c r="C10" i="4"/>
  <c r="C32" i="4"/>
  <c r="C29" i="4"/>
  <c r="C25" i="4"/>
  <c r="C31" i="4"/>
  <c r="C40" i="4"/>
  <c r="C16" i="4"/>
  <c r="C41" i="4"/>
  <c r="C8" i="4"/>
  <c r="C47" i="4"/>
  <c r="C39" i="4"/>
  <c r="C14" i="4"/>
  <c r="C23" i="4"/>
  <c r="C45" i="4"/>
  <c r="C7" i="4"/>
  <c r="C20" i="4"/>
  <c r="C30" i="4"/>
  <c r="C22" i="4"/>
  <c r="C50" i="4"/>
  <c r="C28" i="4"/>
  <c r="C12" i="4"/>
  <c r="C19" i="4"/>
  <c r="C37" i="4"/>
  <c r="C43" i="4"/>
  <c r="C18" i="4"/>
  <c r="C38" i="4"/>
  <c r="C48" i="4"/>
  <c r="C21" i="4"/>
  <c r="C44" i="4"/>
  <c r="C17" i="4"/>
  <c r="C33" i="4"/>
  <c r="C9" i="4"/>
  <c r="C11" i="4"/>
  <c r="C49" i="4"/>
  <c r="C15" i="4"/>
  <c r="C27" i="4"/>
  <c r="D5" i="4"/>
  <c r="AI5" i="4" s="1"/>
  <c r="C36" i="4"/>
  <c r="C46" i="4"/>
  <c r="C42" i="4"/>
  <c r="C13" i="4"/>
  <c r="C35" i="4"/>
  <c r="AL42" i="4" l="1"/>
  <c r="AN42" i="4"/>
  <c r="AM42" i="4"/>
  <c r="AL27" i="4"/>
  <c r="AN27" i="4"/>
  <c r="AM27" i="4"/>
  <c r="AL9" i="4"/>
  <c r="AM9" i="4"/>
  <c r="AN9" i="4"/>
  <c r="AL21" i="4"/>
  <c r="AN21" i="4"/>
  <c r="AM21" i="4"/>
  <c r="AL43" i="4"/>
  <c r="AN43" i="4"/>
  <c r="AM43" i="4"/>
  <c r="AL28" i="4"/>
  <c r="AM28" i="4"/>
  <c r="AN28" i="4"/>
  <c r="AL20" i="4"/>
  <c r="AM20" i="4"/>
  <c r="AN20" i="4"/>
  <c r="AL14" i="4"/>
  <c r="AM14" i="4"/>
  <c r="AN14" i="4"/>
  <c r="AL41" i="4"/>
  <c r="AN41" i="4"/>
  <c r="AM41" i="4"/>
  <c r="AL25" i="4"/>
  <c r="AN25" i="4"/>
  <c r="AM25" i="4"/>
  <c r="AL26" i="4"/>
  <c r="AN26" i="4"/>
  <c r="AM26" i="4"/>
  <c r="AL46" i="4"/>
  <c r="AM46" i="4"/>
  <c r="AN46" i="4"/>
  <c r="AL15" i="4"/>
  <c r="AN15" i="4"/>
  <c r="AM15" i="4"/>
  <c r="AL33" i="4"/>
  <c r="AM33" i="4"/>
  <c r="AN33" i="4"/>
  <c r="AL48" i="4"/>
  <c r="AN48" i="4"/>
  <c r="AM48" i="4"/>
  <c r="AL37" i="4"/>
  <c r="AN37" i="4"/>
  <c r="AM37" i="4"/>
  <c r="AM50" i="4"/>
  <c r="AN50" i="4"/>
  <c r="AL7" i="4"/>
  <c r="AM7" i="4"/>
  <c r="AN7" i="4"/>
  <c r="AL39" i="4"/>
  <c r="AN39" i="4"/>
  <c r="AM39" i="4"/>
  <c r="AL16" i="4"/>
  <c r="AN16" i="4"/>
  <c r="AM16" i="4"/>
  <c r="AL29" i="4"/>
  <c r="AM29" i="4"/>
  <c r="AN29" i="4"/>
  <c r="AL34" i="4"/>
  <c r="AM34" i="4"/>
  <c r="AN34" i="4"/>
  <c r="AL35" i="4"/>
  <c r="AM35" i="4"/>
  <c r="AN35" i="4"/>
  <c r="AL36" i="4"/>
  <c r="AN36" i="4"/>
  <c r="AM36" i="4"/>
  <c r="AL49" i="4"/>
  <c r="AM49" i="4"/>
  <c r="AN49" i="4"/>
  <c r="AL17" i="4"/>
  <c r="AN17" i="4"/>
  <c r="AM17" i="4"/>
  <c r="AL38" i="4"/>
  <c r="AN38" i="4"/>
  <c r="AM38" i="4"/>
  <c r="AL19" i="4"/>
  <c r="AN19" i="4"/>
  <c r="AM19" i="4"/>
  <c r="AL22" i="4"/>
  <c r="AN22" i="4"/>
  <c r="AM22" i="4"/>
  <c r="AL45" i="4"/>
  <c r="AM45" i="4"/>
  <c r="AN45" i="4"/>
  <c r="AL47" i="4"/>
  <c r="AM47" i="4"/>
  <c r="AN47" i="4"/>
  <c r="AL40" i="4"/>
  <c r="AM40" i="4"/>
  <c r="AN40" i="4"/>
  <c r="AL32" i="4"/>
  <c r="AN32" i="4"/>
  <c r="AM32" i="4"/>
  <c r="AL24" i="4"/>
  <c r="AM24" i="4"/>
  <c r="AN24" i="4"/>
  <c r="AL13" i="4"/>
  <c r="AM13" i="4"/>
  <c r="AN13" i="4"/>
  <c r="AL11" i="4"/>
  <c r="AN11" i="4"/>
  <c r="AM11" i="4"/>
  <c r="AL44" i="4"/>
  <c r="AM44" i="4"/>
  <c r="AN44" i="4"/>
  <c r="AL18" i="4"/>
  <c r="AM18" i="4"/>
  <c r="AN18" i="4"/>
  <c r="AL12" i="4"/>
  <c r="AM12" i="4"/>
  <c r="AN12" i="4"/>
  <c r="AL30" i="4"/>
  <c r="AN30" i="4"/>
  <c r="AM30" i="4"/>
  <c r="AL23" i="4"/>
  <c r="AM23" i="4"/>
  <c r="AN23" i="4"/>
  <c r="AL8" i="4"/>
  <c r="AM8" i="4"/>
  <c r="AN8" i="4"/>
  <c r="AL31" i="4"/>
  <c r="AN31" i="4"/>
  <c r="AM31" i="4"/>
  <c r="AL10" i="4"/>
  <c r="AN10" i="4"/>
  <c r="AM10" i="4"/>
  <c r="AL6" i="4"/>
  <c r="AN6" i="4"/>
  <c r="AM6" i="4"/>
  <c r="AN61" i="4"/>
  <c r="AN63" i="4" s="1"/>
  <c r="AN60" i="4"/>
  <c r="AL50" i="4"/>
  <c r="P5" i="4"/>
  <c r="R5" i="4" s="1"/>
  <c r="AC5" i="4" s="1"/>
  <c r="Q5" i="4"/>
  <c r="F5" i="4"/>
  <c r="X5" i="4"/>
  <c r="AE5" i="4" s="1"/>
  <c r="S5" i="4"/>
  <c r="K5" i="4"/>
  <c r="O46" i="4"/>
  <c r="O33" i="4"/>
  <c r="O37" i="4"/>
  <c r="O39" i="4"/>
  <c r="O29" i="4"/>
  <c r="O34" i="4"/>
  <c r="O35" i="4"/>
  <c r="O36" i="4"/>
  <c r="O17" i="4"/>
  <c r="O38" i="4"/>
  <c r="O19" i="4"/>
  <c r="O22" i="4"/>
  <c r="O45" i="4"/>
  <c r="O47" i="4"/>
  <c r="O40" i="4"/>
  <c r="O32" i="4"/>
  <c r="O24" i="4"/>
  <c r="O44" i="4"/>
  <c r="O18" i="4"/>
  <c r="O30" i="4"/>
  <c r="O23" i="4"/>
  <c r="O31" i="4"/>
  <c r="O42" i="4"/>
  <c r="O27" i="4"/>
  <c r="O21" i="4"/>
  <c r="O43" i="4"/>
  <c r="O28" i="4"/>
  <c r="O20" i="4"/>
  <c r="O41" i="4"/>
  <c r="O25" i="4"/>
  <c r="O26" i="4"/>
  <c r="O49" i="4"/>
  <c r="O50" i="4"/>
  <c r="O9" i="4"/>
  <c r="O14" i="4"/>
  <c r="O15" i="4"/>
  <c r="O7" i="4"/>
  <c r="O16" i="4"/>
  <c r="O13" i="4"/>
  <c r="O11" i="4"/>
  <c r="O12" i="4"/>
  <c r="O8" i="4"/>
  <c r="O10" i="4"/>
  <c r="O6" i="4"/>
  <c r="I5" i="4"/>
  <c r="AH5" i="4"/>
  <c r="AP5" i="4"/>
  <c r="E42" i="4"/>
  <c r="E33" i="4"/>
  <c r="E7" i="4"/>
  <c r="I7" i="4"/>
  <c r="E36" i="4"/>
  <c r="E19" i="4"/>
  <c r="E40" i="4"/>
  <c r="E12" i="4"/>
  <c r="E23" i="4"/>
  <c r="E31" i="4"/>
  <c r="E6" i="4"/>
  <c r="E27" i="4"/>
  <c r="E21" i="4"/>
  <c r="E28" i="4"/>
  <c r="I28" i="4"/>
  <c r="E14" i="4"/>
  <c r="E25" i="4"/>
  <c r="E15" i="4"/>
  <c r="E39" i="4"/>
  <c r="E29" i="4"/>
  <c r="E35" i="4"/>
  <c r="E38" i="4"/>
  <c r="E22" i="4"/>
  <c r="E32" i="4"/>
  <c r="E13" i="4"/>
  <c r="E11" i="4"/>
  <c r="E18" i="4"/>
  <c r="E30" i="4"/>
  <c r="E8" i="4"/>
  <c r="E10" i="4"/>
  <c r="E9" i="4"/>
  <c r="E20" i="4"/>
  <c r="E37" i="4"/>
  <c r="E16" i="4"/>
  <c r="E34" i="4"/>
  <c r="E41" i="4"/>
  <c r="E17" i="4"/>
  <c r="E24" i="4"/>
  <c r="E26" i="4"/>
  <c r="G5" i="4"/>
  <c r="AF5" i="4"/>
  <c r="AJ5" i="4"/>
  <c r="AK5" i="4"/>
  <c r="AG5" i="4"/>
  <c r="D36" i="4"/>
  <c r="AI36" i="4" s="1"/>
  <c r="D17" i="4"/>
  <c r="AI17" i="4" s="1"/>
  <c r="D37" i="4"/>
  <c r="K37" i="4" s="1"/>
  <c r="D20" i="4"/>
  <c r="G20" i="4" s="1"/>
  <c r="D41" i="4"/>
  <c r="K41" i="4" s="1"/>
  <c r="D7" i="4"/>
  <c r="AI7" i="4" s="1"/>
  <c r="D16" i="4"/>
  <c r="AI16" i="4" s="1"/>
  <c r="D34" i="4"/>
  <c r="AP34" i="4" s="1"/>
  <c r="D27" i="4"/>
  <c r="AI27" i="4" s="1"/>
  <c r="D44" i="4"/>
  <c r="G44" i="4" s="1"/>
  <c r="D19" i="4"/>
  <c r="AP19" i="4" s="1"/>
  <c r="D45" i="4"/>
  <c r="AI45" i="4" s="1"/>
  <c r="D40" i="4"/>
  <c r="AH40" i="4" s="1"/>
  <c r="D24" i="4"/>
  <c r="AI24" i="4" s="1"/>
  <c r="D15" i="4"/>
  <c r="K15" i="4" s="1"/>
  <c r="D21" i="4"/>
  <c r="K21" i="4" s="1"/>
  <c r="D12" i="4"/>
  <c r="AI12" i="4" s="1"/>
  <c r="D23" i="4"/>
  <c r="AH23" i="4" s="1"/>
  <c r="D31" i="4"/>
  <c r="AI31" i="4" s="1"/>
  <c r="D6" i="4"/>
  <c r="AP6" i="4" s="1"/>
  <c r="D35" i="4"/>
  <c r="AP35" i="4" s="1"/>
  <c r="D49" i="4"/>
  <c r="AI49" i="4" s="1"/>
  <c r="D48" i="4"/>
  <c r="K48" i="4" s="1"/>
  <c r="D28" i="4"/>
  <c r="G28" i="4" s="1"/>
  <c r="D14" i="4"/>
  <c r="G14" i="4" s="1"/>
  <c r="D25" i="4"/>
  <c r="AH25" i="4" s="1"/>
  <c r="D13" i="4"/>
  <c r="AI13" i="4" s="1"/>
  <c r="D11" i="4"/>
  <c r="AH11" i="4" s="1"/>
  <c r="D38" i="4"/>
  <c r="AP38" i="4" s="1"/>
  <c r="D50" i="4"/>
  <c r="AP50" i="4" s="1"/>
  <c r="D39" i="4"/>
  <c r="AH39" i="4" s="1"/>
  <c r="D29" i="4"/>
  <c r="K29" i="4" s="1"/>
  <c r="D42" i="4"/>
  <c r="K42" i="4" s="1"/>
  <c r="D9" i="4"/>
  <c r="AI9" i="4" s="1"/>
  <c r="D18" i="4"/>
  <c r="AI18" i="4" s="1"/>
  <c r="D22" i="4"/>
  <c r="AH22" i="4" s="1"/>
  <c r="D47" i="4"/>
  <c r="G47" i="4" s="1"/>
  <c r="D32" i="4"/>
  <c r="AH32" i="4" s="1"/>
  <c r="D46" i="4"/>
  <c r="AI46" i="4" s="1"/>
  <c r="D33" i="4"/>
  <c r="AP33" i="4" s="1"/>
  <c r="D43" i="4"/>
  <c r="AI43" i="4" s="1"/>
  <c r="D30" i="4"/>
  <c r="AI30" i="4" s="1"/>
  <c r="D8" i="4"/>
  <c r="AI8" i="4" s="1"/>
  <c r="D10" i="4"/>
  <c r="K10" i="4" s="1"/>
  <c r="D26" i="4"/>
  <c r="K26" i="4" s="1"/>
  <c r="W24" i="4" l="1"/>
  <c r="X24" i="4" s="1"/>
  <c r="AE24" i="4" s="1"/>
  <c r="W32" i="4"/>
  <c r="X32" i="4" s="1"/>
  <c r="AE32" i="4" s="1"/>
  <c r="W31" i="4"/>
  <c r="X31" i="4" s="1"/>
  <c r="AE31" i="4" s="1"/>
  <c r="W17" i="4"/>
  <c r="X17" i="4" s="1"/>
  <c r="AE17" i="4" s="1"/>
  <c r="W12" i="4"/>
  <c r="X12" i="4" s="1"/>
  <c r="AE12" i="4" s="1"/>
  <c r="W15" i="4"/>
  <c r="X15" i="4" s="1"/>
  <c r="AE15" i="4" s="1"/>
  <c r="W35" i="4"/>
  <c r="X35" i="4" s="1"/>
  <c r="AE35" i="4" s="1"/>
  <c r="W29" i="4"/>
  <c r="X29" i="4" s="1"/>
  <c r="AE29" i="4" s="1"/>
  <c r="W20" i="4"/>
  <c r="X20" i="4" s="1"/>
  <c r="AE20" i="4" s="1"/>
  <c r="W8" i="4"/>
  <c r="X8" i="4" s="1"/>
  <c r="AE8" i="4" s="1"/>
  <c r="W18" i="4"/>
  <c r="X18" i="4" s="1"/>
  <c r="AE18" i="4" s="1"/>
  <c r="W16" i="4"/>
  <c r="X16" i="4" s="1"/>
  <c r="AE16" i="4" s="1"/>
  <c r="W26" i="4"/>
  <c r="X26" i="4" s="1"/>
  <c r="AE26" i="4" s="1"/>
  <c r="W28" i="4"/>
  <c r="X28" i="4" s="1"/>
  <c r="AE28" i="4" s="1"/>
  <c r="W37" i="4"/>
  <c r="X37" i="4" s="1"/>
  <c r="AE37" i="4" s="1"/>
  <c r="W23" i="4"/>
  <c r="X23" i="4" s="1"/>
  <c r="AE23" i="4" s="1"/>
  <c r="W11" i="4"/>
  <c r="W22" i="4"/>
  <c r="W9" i="4"/>
  <c r="X9" i="4" s="1"/>
  <c r="AE9" i="4" s="1"/>
  <c r="W7" i="4"/>
  <c r="X7" i="4" s="1"/>
  <c r="AE7" i="4" s="1"/>
  <c r="W25" i="4"/>
  <c r="W21" i="4"/>
  <c r="X21" i="4" s="1"/>
  <c r="AE21" i="4" s="1"/>
  <c r="W10" i="4"/>
  <c r="X10" i="4" s="1"/>
  <c r="AE10" i="4" s="1"/>
  <c r="W30" i="4"/>
  <c r="X30" i="4" s="1"/>
  <c r="AE30" i="4" s="1"/>
  <c r="W13" i="4"/>
  <c r="X13" i="4" s="1"/>
  <c r="AE13" i="4" s="1"/>
  <c r="W19" i="4"/>
  <c r="X19" i="4" s="1"/>
  <c r="AE19" i="4" s="1"/>
  <c r="W34" i="4"/>
  <c r="W33" i="4"/>
  <c r="W14" i="4"/>
  <c r="X14" i="4" s="1"/>
  <c r="AE14" i="4" s="1"/>
  <c r="W27" i="4"/>
  <c r="X27" i="4" s="1"/>
  <c r="AE27" i="4" s="1"/>
  <c r="W40" i="4"/>
  <c r="X40" i="4" s="1"/>
  <c r="AE40" i="4" s="1"/>
  <c r="W38" i="4"/>
  <c r="X38" i="4" s="1"/>
  <c r="AE38" i="4" s="1"/>
  <c r="W39" i="4"/>
  <c r="X39" i="4" s="1"/>
  <c r="AE39" i="4" s="1"/>
  <c r="W36" i="4"/>
  <c r="X36" i="4" s="1"/>
  <c r="AE36" i="4" s="1"/>
  <c r="W45" i="4"/>
  <c r="X45" i="4" s="1"/>
  <c r="AE45" i="4" s="1"/>
  <c r="W41" i="4"/>
  <c r="X41" i="4" s="1"/>
  <c r="AE41" i="4" s="1"/>
  <c r="W46" i="4"/>
  <c r="X46" i="4" s="1"/>
  <c r="AE46" i="4" s="1"/>
  <c r="W44" i="4"/>
  <c r="X44" i="4" s="1"/>
  <c r="AE44" i="4" s="1"/>
  <c r="W43" i="4"/>
  <c r="X43" i="4" s="1"/>
  <c r="AE43" i="4" s="1"/>
  <c r="W47" i="4"/>
  <c r="X47" i="4" s="1"/>
  <c r="AE47" i="4" s="1"/>
  <c r="W42" i="4"/>
  <c r="X42" i="4" s="1"/>
  <c r="AE42" i="4" s="1"/>
  <c r="W50" i="4"/>
  <c r="X50" i="4" s="1"/>
  <c r="AE50" i="4" s="1"/>
  <c r="W49" i="4"/>
  <c r="X49" i="4" s="1"/>
  <c r="AE49" i="4" s="1"/>
  <c r="W48" i="4"/>
  <c r="X48" i="4" s="1"/>
  <c r="AE48" i="4" s="1"/>
  <c r="Q35" i="4"/>
  <c r="Q7" i="4"/>
  <c r="P7" i="4"/>
  <c r="F12" i="4"/>
  <c r="AO12" i="4" s="1"/>
  <c r="F7" i="4"/>
  <c r="Q9" i="4"/>
  <c r="Q24" i="4"/>
  <c r="Q17" i="4"/>
  <c r="AO5" i="4"/>
  <c r="F11" i="4"/>
  <c r="F6" i="4"/>
  <c r="Q29" i="4"/>
  <c r="Q21" i="4"/>
  <c r="Q20" i="4"/>
  <c r="Q6" i="4"/>
  <c r="Q11" i="4"/>
  <c r="Q28" i="4"/>
  <c r="P6" i="4"/>
  <c r="H5" i="4"/>
  <c r="J5" i="4" s="1"/>
  <c r="AA5" i="4" s="1"/>
  <c r="F20" i="4"/>
  <c r="AO20" i="4" s="1"/>
  <c r="Q10" i="4"/>
  <c r="F21" i="4"/>
  <c r="AO21" i="4" s="1"/>
  <c r="Q34" i="4"/>
  <c r="Q33" i="4"/>
  <c r="Q25" i="4"/>
  <c r="Q22" i="4"/>
  <c r="Q23" i="4"/>
  <c r="G15" i="4"/>
  <c r="F19" i="4"/>
  <c r="Q16" i="4"/>
  <c r="Q31" i="4"/>
  <c r="Q12" i="4"/>
  <c r="Q38" i="4"/>
  <c r="F10" i="4"/>
  <c r="F14" i="4"/>
  <c r="F17" i="4"/>
  <c r="AO17" i="4" s="1"/>
  <c r="F9" i="4"/>
  <c r="P34" i="4"/>
  <c r="P16" i="4"/>
  <c r="P33" i="4"/>
  <c r="P21" i="4"/>
  <c r="P19" i="4"/>
  <c r="P35" i="4"/>
  <c r="P25" i="4"/>
  <c r="P20" i="4"/>
  <c r="P9" i="4"/>
  <c r="P31" i="4"/>
  <c r="P23" i="4"/>
  <c r="P12" i="4"/>
  <c r="P11" i="4"/>
  <c r="P24" i="4"/>
  <c r="Q19" i="4"/>
  <c r="F8" i="4"/>
  <c r="F16" i="4"/>
  <c r="F13" i="4"/>
  <c r="Q15" i="4"/>
  <c r="Q27" i="4"/>
  <c r="Q26" i="4"/>
  <c r="Q14" i="4"/>
  <c r="Q8" i="4"/>
  <c r="Q30" i="4"/>
  <c r="Q18" i="4"/>
  <c r="Q13" i="4"/>
  <c r="Q32" i="4"/>
  <c r="F18" i="4"/>
  <c r="F15" i="4"/>
  <c r="AO15" i="4" s="1"/>
  <c r="P29" i="4"/>
  <c r="P15" i="4"/>
  <c r="P27" i="4"/>
  <c r="P17" i="4"/>
  <c r="P26" i="4"/>
  <c r="P14" i="4"/>
  <c r="P28" i="4"/>
  <c r="P22" i="4"/>
  <c r="P10" i="4"/>
  <c r="P8" i="4"/>
  <c r="P30" i="4"/>
  <c r="P18" i="4"/>
  <c r="P13" i="4"/>
  <c r="P32" i="4"/>
  <c r="X11" i="4"/>
  <c r="AE11" i="4" s="1"/>
  <c r="X22" i="4"/>
  <c r="AE22" i="4" s="1"/>
  <c r="X34" i="4"/>
  <c r="AE34" i="4" s="1"/>
  <c r="X33" i="4"/>
  <c r="AE33" i="4" s="1"/>
  <c r="P39" i="4"/>
  <c r="P36" i="4"/>
  <c r="Q40" i="4"/>
  <c r="X6" i="4"/>
  <c r="AE6" i="4" s="1"/>
  <c r="X25" i="4"/>
  <c r="AE25" i="4" s="1"/>
  <c r="P37" i="4"/>
  <c r="S25" i="4"/>
  <c r="Q36" i="4"/>
  <c r="P40" i="4"/>
  <c r="S28" i="4"/>
  <c r="S6" i="4"/>
  <c r="V6" i="4" s="1"/>
  <c r="S8" i="4"/>
  <c r="V8" i="4" s="1"/>
  <c r="S11" i="4"/>
  <c r="V11" i="4" s="1"/>
  <c r="S16" i="4"/>
  <c r="S15" i="4"/>
  <c r="S9" i="4"/>
  <c r="V9" i="4" s="1"/>
  <c r="S23" i="4"/>
  <c r="Q39" i="4"/>
  <c r="Q37" i="4"/>
  <c r="Q44" i="4"/>
  <c r="P38" i="4"/>
  <c r="S30" i="4"/>
  <c r="S10" i="4"/>
  <c r="V10" i="4" s="1"/>
  <c r="S12" i="4"/>
  <c r="V12" i="4" s="1"/>
  <c r="S13" i="4"/>
  <c r="V13" i="4" s="1"/>
  <c r="S7" i="4"/>
  <c r="V7" i="4" s="1"/>
  <c r="S14" i="4"/>
  <c r="V14" i="4" s="1"/>
  <c r="S32" i="4"/>
  <c r="O48" i="4"/>
  <c r="S33" i="4"/>
  <c r="I15" i="2"/>
  <c r="S50" i="4"/>
  <c r="Q42" i="4"/>
  <c r="S38" i="4"/>
  <c r="S36" i="4"/>
  <c r="P42" i="4"/>
  <c r="S26" i="4"/>
  <c r="S21" i="4"/>
  <c r="S22" i="4"/>
  <c r="S35" i="4"/>
  <c r="Q46" i="4"/>
  <c r="Q47" i="4"/>
  <c r="Q41" i="4"/>
  <c r="Q43" i="4"/>
  <c r="Q45" i="4"/>
  <c r="S42" i="4"/>
  <c r="S34" i="4"/>
  <c r="S27" i="4"/>
  <c r="S18" i="4"/>
  <c r="S19" i="4"/>
  <c r="P46" i="4"/>
  <c r="P47" i="4"/>
  <c r="P41" i="4"/>
  <c r="P43" i="4"/>
  <c r="P44" i="4"/>
  <c r="P45" i="4"/>
  <c r="S45" i="4"/>
  <c r="S29" i="4"/>
  <c r="S20" i="4"/>
  <c r="S31" i="4"/>
  <c r="S24" i="4"/>
  <c r="S17" i="4"/>
  <c r="Q48" i="4"/>
  <c r="P48" i="4"/>
  <c r="S44" i="4"/>
  <c r="S37" i="4"/>
  <c r="S41" i="4"/>
  <c r="S40" i="4"/>
  <c r="S49" i="4"/>
  <c r="S48" i="4"/>
  <c r="S43" i="4"/>
  <c r="S47" i="4"/>
  <c r="S39" i="4"/>
  <c r="S46" i="4"/>
  <c r="Q50" i="4"/>
  <c r="Q49" i="4"/>
  <c r="P50" i="4"/>
  <c r="P49" i="4"/>
  <c r="G15" i="2"/>
  <c r="AH6" i="4"/>
  <c r="AP47" i="4"/>
  <c r="AP22" i="4"/>
  <c r="AP25" i="4"/>
  <c r="AP23" i="4"/>
  <c r="AH19" i="4"/>
  <c r="AH30" i="4"/>
  <c r="AP14" i="4"/>
  <c r="AH12" i="4"/>
  <c r="AP9" i="4"/>
  <c r="AP36" i="4"/>
  <c r="AH44" i="4"/>
  <c r="AP16" i="4"/>
  <c r="AP42" i="4"/>
  <c r="AH50" i="4"/>
  <c r="AH27" i="4"/>
  <c r="AH42" i="4"/>
  <c r="AH10" i="4"/>
  <c r="AP20" i="4"/>
  <c r="AH49" i="4"/>
  <c r="AH38" i="4"/>
  <c r="AP40" i="4"/>
  <c r="AH20" i="4"/>
  <c r="AP39" i="4"/>
  <c r="AH33" i="4"/>
  <c r="AH18" i="4"/>
  <c r="AP32" i="4"/>
  <c r="AH35" i="4"/>
  <c r="AP24" i="4"/>
  <c r="AH17" i="4"/>
  <c r="AH7" i="4"/>
  <c r="AH46" i="4"/>
  <c r="AP43" i="4"/>
  <c r="AH13" i="4"/>
  <c r="AP10" i="4"/>
  <c r="AP18" i="4"/>
  <c r="AH28" i="4"/>
  <c r="AP17" i="4"/>
  <c r="AP7" i="4"/>
  <c r="AH26" i="4"/>
  <c r="AH43" i="4"/>
  <c r="AP48" i="4"/>
  <c r="AP26" i="4"/>
  <c r="AP8" i="4"/>
  <c r="AP11" i="4"/>
  <c r="AH47" i="4"/>
  <c r="AH48" i="4"/>
  <c r="AP21" i="4"/>
  <c r="AH31" i="4"/>
  <c r="AP44" i="4"/>
  <c r="AP45" i="4"/>
  <c r="AH34" i="4"/>
  <c r="AP37" i="4"/>
  <c r="AP41" i="4"/>
  <c r="AH9" i="4"/>
  <c r="AP49" i="4"/>
  <c r="AP28" i="4"/>
  <c r="AH36" i="4"/>
  <c r="AH8" i="4"/>
  <c r="AH21" i="4"/>
  <c r="AP31" i="4"/>
  <c r="AH45" i="4"/>
  <c r="AH37" i="4"/>
  <c r="AH41" i="4"/>
  <c r="AP29" i="4"/>
  <c r="AH16" i="4"/>
  <c r="AH15" i="4"/>
  <c r="AH29" i="4"/>
  <c r="AP30" i="4"/>
  <c r="AH14" i="4"/>
  <c r="AP27" i="4"/>
  <c r="AP12" i="4"/>
  <c r="AH24" i="4"/>
  <c r="AP46" i="4"/>
  <c r="AP13" i="4"/>
  <c r="AP15" i="4"/>
  <c r="I23" i="4"/>
  <c r="I41" i="4"/>
  <c r="I50" i="4"/>
  <c r="I6" i="4"/>
  <c r="I9" i="4"/>
  <c r="F34" i="4"/>
  <c r="F42" i="4"/>
  <c r="F26" i="4"/>
  <c r="F36" i="4"/>
  <c r="F22" i="4"/>
  <c r="F25" i="4"/>
  <c r="F39" i="4"/>
  <c r="N26" i="4"/>
  <c r="N41" i="4"/>
  <c r="F41" i="4"/>
  <c r="F32" i="4"/>
  <c r="F50" i="4"/>
  <c r="N10" i="4"/>
  <c r="F43" i="4"/>
  <c r="F47" i="4"/>
  <c r="F48" i="4"/>
  <c r="F30" i="4"/>
  <c r="F38" i="4"/>
  <c r="F28" i="4"/>
  <c r="N42" i="4"/>
  <c r="F37" i="4"/>
  <c r="F23" i="4"/>
  <c r="F49" i="4"/>
  <c r="F27" i="4"/>
  <c r="N29" i="4"/>
  <c r="N21" i="4"/>
  <c r="N5" i="4"/>
  <c r="AB5" i="4" s="1"/>
  <c r="F33" i="4"/>
  <c r="F44" i="4"/>
  <c r="F35" i="4"/>
  <c r="F31" i="4"/>
  <c r="N37" i="4"/>
  <c r="F24" i="4"/>
  <c r="N48" i="4"/>
  <c r="N15" i="4"/>
  <c r="F46" i="4"/>
  <c r="F45" i="4"/>
  <c r="F29" i="4"/>
  <c r="F40" i="4"/>
  <c r="I37" i="4"/>
  <c r="I30" i="4"/>
  <c r="I25" i="4"/>
  <c r="I24" i="4"/>
  <c r="I49" i="4"/>
  <c r="I31" i="4"/>
  <c r="I13" i="4"/>
  <c r="I33" i="4"/>
  <c r="I8" i="4"/>
  <c r="I48" i="4"/>
  <c r="I44" i="4"/>
  <c r="I22" i="4"/>
  <c r="I16" i="4"/>
  <c r="I10" i="4"/>
  <c r="I11" i="4"/>
  <c r="I39" i="4"/>
  <c r="I14" i="4"/>
  <c r="G33" i="4"/>
  <c r="I17" i="4"/>
  <c r="I38" i="4"/>
  <c r="I40" i="4"/>
  <c r="I45" i="4"/>
  <c r="I20" i="4"/>
  <c r="I32" i="4"/>
  <c r="I35" i="4"/>
  <c r="I15" i="4"/>
  <c r="I21" i="4"/>
  <c r="I19" i="4"/>
  <c r="I46" i="4"/>
  <c r="I26" i="4"/>
  <c r="I43" i="4"/>
  <c r="I42" i="4"/>
  <c r="I34" i="4"/>
  <c r="I18" i="4"/>
  <c r="I47" i="4"/>
  <c r="I29" i="4"/>
  <c r="I27" i="4"/>
  <c r="I12" i="4"/>
  <c r="I36" i="4"/>
  <c r="E44" i="4"/>
  <c r="E45" i="4"/>
  <c r="E46" i="4"/>
  <c r="E43" i="4"/>
  <c r="E49" i="4"/>
  <c r="E48" i="4"/>
  <c r="E47" i="4"/>
  <c r="E50" i="4"/>
  <c r="G21" i="4"/>
  <c r="G6" i="4"/>
  <c r="G12" i="4"/>
  <c r="G36" i="4"/>
  <c r="G19" i="4"/>
  <c r="G37" i="4"/>
  <c r="G16" i="4"/>
  <c r="G18" i="4"/>
  <c r="G9" i="4"/>
  <c r="G13" i="4"/>
  <c r="K14" i="4"/>
  <c r="G25" i="4"/>
  <c r="G24" i="4"/>
  <c r="K7" i="4"/>
  <c r="K28" i="4"/>
  <c r="G10" i="4"/>
  <c r="K20" i="4"/>
  <c r="K6" i="4"/>
  <c r="N6" i="4" s="1"/>
  <c r="G8" i="4"/>
  <c r="G17" i="4"/>
  <c r="K43" i="4"/>
  <c r="K44" i="4"/>
  <c r="K30" i="4"/>
  <c r="K33" i="4"/>
  <c r="G34" i="4"/>
  <c r="G11" i="4"/>
  <c r="G27" i="4"/>
  <c r="G7" i="4"/>
  <c r="K32" i="4"/>
  <c r="K36" i="4"/>
  <c r="G29" i="4"/>
  <c r="G26" i="4"/>
  <c r="K35" i="4"/>
  <c r="G39" i="4"/>
  <c r="G22" i="4"/>
  <c r="G23" i="4"/>
  <c r="K50" i="4"/>
  <c r="K47" i="4"/>
  <c r="K49" i="4"/>
  <c r="K22" i="4"/>
  <c r="K23" i="4"/>
  <c r="K9" i="4"/>
  <c r="N9" i="4" s="1"/>
  <c r="K46" i="4"/>
  <c r="K31" i="4"/>
  <c r="K45" i="4"/>
  <c r="K8" i="4"/>
  <c r="K38" i="4"/>
  <c r="K25" i="4"/>
  <c r="K12" i="4"/>
  <c r="K40" i="4"/>
  <c r="K18" i="4"/>
  <c r="K16" i="4"/>
  <c r="G43" i="4"/>
  <c r="K24" i="4"/>
  <c r="K11" i="4"/>
  <c r="K17" i="4"/>
  <c r="K19" i="4"/>
  <c r="K13" i="4"/>
  <c r="K39" i="4"/>
  <c r="K27" i="4"/>
  <c r="K34" i="4"/>
  <c r="G48" i="4"/>
  <c r="G46" i="4"/>
  <c r="G30" i="4"/>
  <c r="G50" i="4"/>
  <c r="G32" i="4"/>
  <c r="G31" i="4"/>
  <c r="G40" i="4"/>
  <c r="G38" i="4"/>
  <c r="G45" i="4"/>
  <c r="G35" i="4"/>
  <c r="G42" i="4"/>
  <c r="G49" i="4"/>
  <c r="G41" i="4"/>
  <c r="AI38" i="4"/>
  <c r="AI40" i="4"/>
  <c r="AI50" i="4"/>
  <c r="AI25" i="4"/>
  <c r="AI6" i="4"/>
  <c r="AJ26" i="4"/>
  <c r="AG26" i="4"/>
  <c r="AK26" i="4"/>
  <c r="AF26" i="4"/>
  <c r="AF42" i="4"/>
  <c r="AK42" i="4"/>
  <c r="AG42" i="4"/>
  <c r="AJ42" i="4"/>
  <c r="AJ44" i="4"/>
  <c r="AK44" i="4"/>
  <c r="AG44" i="4"/>
  <c r="AF44" i="4"/>
  <c r="AG28" i="4"/>
  <c r="AF28" i="4"/>
  <c r="AK28" i="4"/>
  <c r="AJ28" i="4"/>
  <c r="AJ21" i="4"/>
  <c r="AF21" i="4"/>
  <c r="AK21" i="4"/>
  <c r="AG21" i="4"/>
  <c r="AK27" i="4"/>
  <c r="AF27" i="4"/>
  <c r="AJ27" i="4"/>
  <c r="AG27" i="4"/>
  <c r="AK20" i="4"/>
  <c r="AG20" i="4"/>
  <c r="AJ20" i="4"/>
  <c r="AF20" i="4"/>
  <c r="AK32" i="4"/>
  <c r="AG32" i="4"/>
  <c r="AJ32" i="4"/>
  <c r="AF32" i="4"/>
  <c r="AK14" i="4"/>
  <c r="AJ14" i="4"/>
  <c r="AF14" i="4"/>
  <c r="AG14" i="4"/>
  <c r="AK12" i="4"/>
  <c r="AF12" i="4"/>
  <c r="AJ12" i="4"/>
  <c r="AG12" i="4"/>
  <c r="AK41" i="4"/>
  <c r="AF41" i="4"/>
  <c r="AJ41" i="4"/>
  <c r="AG41" i="4"/>
  <c r="AG10" i="4"/>
  <c r="AK10" i="4"/>
  <c r="AF10" i="4"/>
  <c r="AJ10" i="4"/>
  <c r="AJ29" i="4"/>
  <c r="AG29" i="4"/>
  <c r="AF29" i="4"/>
  <c r="AK29" i="4"/>
  <c r="AJ8" i="4"/>
  <c r="AG8" i="4"/>
  <c r="AF8" i="4"/>
  <c r="AK8" i="4"/>
  <c r="AJ39" i="4"/>
  <c r="AF39" i="4"/>
  <c r="AK39" i="4"/>
  <c r="AG39" i="4"/>
  <c r="AF48" i="4"/>
  <c r="AJ48" i="4"/>
  <c r="AG48" i="4"/>
  <c r="AK48" i="4"/>
  <c r="AF15" i="4"/>
  <c r="AG15" i="4"/>
  <c r="AK15" i="4"/>
  <c r="AJ15" i="4"/>
  <c r="AG34" i="4"/>
  <c r="AF34" i="4"/>
  <c r="AK34" i="4"/>
  <c r="AJ34" i="4"/>
  <c r="AK37" i="4"/>
  <c r="AF37" i="4"/>
  <c r="AJ37" i="4"/>
  <c r="AG37" i="4"/>
  <c r="AI26" i="4"/>
  <c r="AI32" i="4"/>
  <c r="AI14" i="4"/>
  <c r="AG30" i="4"/>
  <c r="AK30" i="4"/>
  <c r="AJ30" i="4"/>
  <c r="AF30" i="4"/>
  <c r="AK47" i="4"/>
  <c r="AJ47" i="4"/>
  <c r="AG47" i="4"/>
  <c r="AF47" i="4"/>
  <c r="AK50" i="4"/>
  <c r="AG50" i="4"/>
  <c r="AJ50" i="4"/>
  <c r="AF50" i="4"/>
  <c r="AF49" i="4"/>
  <c r="AG49" i="4"/>
  <c r="AK49" i="4"/>
  <c r="AJ49" i="4"/>
  <c r="AG16" i="4"/>
  <c r="AJ16" i="4"/>
  <c r="AF16" i="4"/>
  <c r="AK16" i="4"/>
  <c r="AG17" i="4"/>
  <c r="AJ17" i="4"/>
  <c r="AF17" i="4"/>
  <c r="AK17" i="4"/>
  <c r="AI37" i="4"/>
  <c r="AI42" i="4"/>
  <c r="AI47" i="4"/>
  <c r="AI48" i="4"/>
  <c r="AI44" i="4"/>
  <c r="AJ43" i="4"/>
  <c r="AK43" i="4"/>
  <c r="AF43" i="4"/>
  <c r="AG43" i="4"/>
  <c r="AK22" i="4"/>
  <c r="AJ22" i="4"/>
  <c r="AG22" i="4"/>
  <c r="AF22" i="4"/>
  <c r="AG38" i="4"/>
  <c r="AK38" i="4"/>
  <c r="AJ38" i="4"/>
  <c r="AF38" i="4"/>
  <c r="AK35" i="4"/>
  <c r="AG35" i="4"/>
  <c r="AJ35" i="4"/>
  <c r="AF35" i="4"/>
  <c r="AK24" i="4"/>
  <c r="AJ24" i="4"/>
  <c r="AG24" i="4"/>
  <c r="AF24" i="4"/>
  <c r="AG7" i="4"/>
  <c r="AK7" i="4"/>
  <c r="AF7" i="4"/>
  <c r="AJ7" i="4"/>
  <c r="AG36" i="4"/>
  <c r="AF36" i="4"/>
  <c r="AJ36" i="4"/>
  <c r="AK36" i="4"/>
  <c r="AI41" i="4"/>
  <c r="AI35" i="4"/>
  <c r="AI28" i="4"/>
  <c r="AF18" i="4"/>
  <c r="AJ18" i="4"/>
  <c r="AG18" i="4"/>
  <c r="AK18" i="4"/>
  <c r="AF11" i="4"/>
  <c r="AJ11" i="4"/>
  <c r="AK11" i="4"/>
  <c r="AG11" i="4"/>
  <c r="AK6" i="4"/>
  <c r="AJ6" i="4"/>
  <c r="AF6" i="4"/>
  <c r="AG6" i="4"/>
  <c r="AG40" i="4"/>
  <c r="AF40" i="4"/>
  <c r="AJ40" i="4"/>
  <c r="AK40" i="4"/>
  <c r="AI34" i="4"/>
  <c r="AI20" i="4"/>
  <c r="AI10" i="4"/>
  <c r="AI11" i="4"/>
  <c r="AI22" i="4"/>
  <c r="AI29" i="4"/>
  <c r="AJ33" i="4"/>
  <c r="AF33" i="4"/>
  <c r="AG33" i="4"/>
  <c r="AK33" i="4"/>
  <c r="AJ13" i="4"/>
  <c r="AG13" i="4"/>
  <c r="AF13" i="4"/>
  <c r="AK13" i="4"/>
  <c r="AJ31" i="4"/>
  <c r="AF31" i="4"/>
  <c r="AK31" i="4"/>
  <c r="AG31" i="4"/>
  <c r="AK45" i="4"/>
  <c r="AG45" i="4"/>
  <c r="AJ45" i="4"/>
  <c r="AF45" i="4"/>
  <c r="AI33" i="4"/>
  <c r="AI15" i="4"/>
  <c r="AF46" i="4"/>
  <c r="AG46" i="4"/>
  <c r="AJ46" i="4"/>
  <c r="AK46" i="4"/>
  <c r="AG9" i="4"/>
  <c r="AF9" i="4"/>
  <c r="AJ9" i="4"/>
  <c r="AK9" i="4"/>
  <c r="AF25" i="4"/>
  <c r="AG25" i="4"/>
  <c r="AK25" i="4"/>
  <c r="AJ25" i="4"/>
  <c r="AJ23" i="4"/>
  <c r="AF23" i="4"/>
  <c r="AG23" i="4"/>
  <c r="AK23" i="4"/>
  <c r="AG19" i="4"/>
  <c r="AF19" i="4"/>
  <c r="AK19" i="4"/>
  <c r="AJ19" i="4"/>
  <c r="AI19" i="4"/>
  <c r="AI39" i="4"/>
  <c r="AI21" i="4"/>
  <c r="AI23" i="4"/>
  <c r="J15" i="2" l="1"/>
  <c r="AO7" i="4"/>
  <c r="H7" i="4"/>
  <c r="J7" i="4" s="1"/>
  <c r="AA7" i="4" s="1"/>
  <c r="H12" i="4"/>
  <c r="J12" i="4" s="1"/>
  <c r="AA12" i="4" s="1"/>
  <c r="AO11" i="4"/>
  <c r="H18" i="4"/>
  <c r="J18" i="4" s="1"/>
  <c r="AA18" i="4" s="1"/>
  <c r="H21" i="4"/>
  <c r="J21" i="4" s="1"/>
  <c r="AA21" i="4" s="1"/>
  <c r="H13" i="4"/>
  <c r="J13" i="4" s="1"/>
  <c r="AA13" i="4" s="1"/>
  <c r="H6" i="4"/>
  <c r="J6" i="4" s="1"/>
  <c r="AA6" i="4" s="1"/>
  <c r="H14" i="4"/>
  <c r="J14" i="4" s="1"/>
  <c r="AA14" i="4" s="1"/>
  <c r="AO13" i="4"/>
  <c r="H17" i="4"/>
  <c r="J17" i="4" s="1"/>
  <c r="AA17" i="4" s="1"/>
  <c r="H20" i="4"/>
  <c r="J20" i="4" s="1"/>
  <c r="AA20" i="4" s="1"/>
  <c r="AO14" i="4"/>
  <c r="AO6" i="4"/>
  <c r="H10" i="4"/>
  <c r="J10" i="4" s="1"/>
  <c r="AA10" i="4" s="1"/>
  <c r="H15" i="4"/>
  <c r="J15" i="4" s="1"/>
  <c r="AA15" i="4" s="1"/>
  <c r="H16" i="4"/>
  <c r="J16" i="4" s="1"/>
  <c r="AA16" i="4" s="1"/>
  <c r="AO19" i="4"/>
  <c r="AO10" i="4"/>
  <c r="H11" i="4"/>
  <c r="J11" i="4" s="1"/>
  <c r="AA11" i="4" s="1"/>
  <c r="AO16" i="4"/>
  <c r="H9" i="4"/>
  <c r="J9" i="4" s="1"/>
  <c r="AA9" i="4" s="1"/>
  <c r="H19" i="4"/>
  <c r="J19" i="4" s="1"/>
  <c r="AA19" i="4" s="1"/>
  <c r="AO9" i="4"/>
  <c r="H8" i="4"/>
  <c r="J8" i="4" s="1"/>
  <c r="AA8" i="4" s="1"/>
  <c r="AO8" i="4"/>
  <c r="AO18" i="4"/>
  <c r="AO29" i="4"/>
  <c r="AO35" i="4"/>
  <c r="AO38" i="4"/>
  <c r="AO41" i="4"/>
  <c r="AO42" i="4"/>
  <c r="AO22" i="4"/>
  <c r="AO34" i="4"/>
  <c r="AO46" i="4"/>
  <c r="AO33" i="4"/>
  <c r="AO27" i="4"/>
  <c r="AO48" i="4"/>
  <c r="AO50" i="4"/>
  <c r="AO36" i="4"/>
  <c r="AO23" i="4"/>
  <c r="AO43" i="4"/>
  <c r="AO25" i="4"/>
  <c r="AO45" i="4"/>
  <c r="AO24" i="4"/>
  <c r="AO44" i="4"/>
  <c r="AO37" i="4"/>
  <c r="AO30" i="4"/>
  <c r="AO40" i="4"/>
  <c r="AO31" i="4"/>
  <c r="AO49" i="4"/>
  <c r="H28" i="4"/>
  <c r="J28" i="4" s="1"/>
  <c r="AA28" i="4" s="1"/>
  <c r="AO28" i="4"/>
  <c r="AO47" i="4"/>
  <c r="AO32" i="4"/>
  <c r="AO39" i="4"/>
  <c r="AO26" i="4"/>
  <c r="H44" i="4"/>
  <c r="J44" i="4" s="1"/>
  <c r="AA44" i="4" s="1"/>
  <c r="I22" i="2"/>
  <c r="I16" i="2"/>
  <c r="I18" i="2"/>
  <c r="I20" i="2"/>
  <c r="I24" i="2"/>
  <c r="I23" i="2"/>
  <c r="I21" i="2"/>
  <c r="I19" i="2"/>
  <c r="I25" i="2"/>
  <c r="I17" i="2"/>
  <c r="AB48" i="4"/>
  <c r="AB21" i="4"/>
  <c r="AB29" i="4"/>
  <c r="AB10" i="4"/>
  <c r="AB41" i="4"/>
  <c r="AB37" i="4"/>
  <c r="AB42" i="4"/>
  <c r="AB26" i="4"/>
  <c r="AB15" i="4"/>
  <c r="H36" i="4"/>
  <c r="J36" i="4" s="1"/>
  <c r="AA36" i="4" s="1"/>
  <c r="H34" i="4"/>
  <c r="J34" i="4" s="1"/>
  <c r="AA34" i="4" s="1"/>
  <c r="H33" i="4"/>
  <c r="J33" i="4" s="1"/>
  <c r="AA33" i="4" s="1"/>
  <c r="H45" i="4"/>
  <c r="J45" i="4" s="1"/>
  <c r="AA45" i="4" s="1"/>
  <c r="H37" i="4"/>
  <c r="J37" i="4" s="1"/>
  <c r="AA37" i="4" s="1"/>
  <c r="H22" i="4"/>
  <c r="J22" i="4" s="1"/>
  <c r="AA22" i="4" s="1"/>
  <c r="H47" i="4"/>
  <c r="J47" i="4" s="1"/>
  <c r="AA47" i="4" s="1"/>
  <c r="H42" i="4"/>
  <c r="J42" i="4" s="1"/>
  <c r="AA42" i="4" s="1"/>
  <c r="H24" i="4"/>
  <c r="J24" i="4" s="1"/>
  <c r="AA24" i="4" s="1"/>
  <c r="H25" i="4"/>
  <c r="J25" i="4" s="1"/>
  <c r="AA25" i="4" s="1"/>
  <c r="H26" i="4"/>
  <c r="J26" i="4" s="1"/>
  <c r="AA26" i="4" s="1"/>
  <c r="H35" i="4"/>
  <c r="J35" i="4" s="1"/>
  <c r="AA35" i="4" s="1"/>
  <c r="H29" i="4"/>
  <c r="J29" i="4" s="1"/>
  <c r="AA29" i="4" s="1"/>
  <c r="H31" i="4"/>
  <c r="J31" i="4" s="1"/>
  <c r="AA31" i="4" s="1"/>
  <c r="H39" i="4"/>
  <c r="J39" i="4" s="1"/>
  <c r="AA39" i="4" s="1"/>
  <c r="H30" i="4"/>
  <c r="J30" i="4" s="1"/>
  <c r="AA30" i="4" s="1"/>
  <c r="N22" i="4"/>
  <c r="N33" i="4"/>
  <c r="N19" i="4"/>
  <c r="N12" i="4"/>
  <c r="N23" i="4"/>
  <c r="N35" i="4"/>
  <c r="N20" i="4"/>
  <c r="N17" i="4"/>
  <c r="N49" i="4"/>
  <c r="N28" i="4"/>
  <c r="N36" i="4"/>
  <c r="H40" i="4"/>
  <c r="J40" i="4" s="1"/>
  <c r="AA40" i="4" s="1"/>
  <c r="N27" i="4"/>
  <c r="N16" i="4"/>
  <c r="N31" i="4"/>
  <c r="H23" i="4"/>
  <c r="J23" i="4" s="1"/>
  <c r="AA23" i="4" s="1"/>
  <c r="N11" i="4"/>
  <c r="N24" i="4"/>
  <c r="N47" i="4"/>
  <c r="N7" i="4"/>
  <c r="N34" i="4"/>
  <c r="N50" i="4"/>
  <c r="N43" i="4"/>
  <c r="N39" i="4"/>
  <c r="N18" i="4"/>
  <c r="H27" i="4"/>
  <c r="J27" i="4" s="1"/>
  <c r="AA27" i="4" s="1"/>
  <c r="N14" i="4"/>
  <c r="N25" i="4"/>
  <c r="N38" i="4"/>
  <c r="N30" i="4"/>
  <c r="N8" i="4"/>
  <c r="N44" i="4"/>
  <c r="H38" i="4"/>
  <c r="J38" i="4" s="1"/>
  <c r="AA38" i="4" s="1"/>
  <c r="N45" i="4"/>
  <c r="N32" i="4"/>
  <c r="N46" i="4"/>
  <c r="H41" i="4"/>
  <c r="J41" i="4" s="1"/>
  <c r="AA41" i="4" s="1"/>
  <c r="H32" i="4"/>
  <c r="J32" i="4" s="1"/>
  <c r="AA32" i="4" s="1"/>
  <c r="N13" i="4"/>
  <c r="N40" i="4"/>
  <c r="AB9" i="4"/>
  <c r="AB6" i="4"/>
  <c r="H43" i="4"/>
  <c r="J43" i="4" s="1"/>
  <c r="AA43" i="4" s="1"/>
  <c r="H46" i="4"/>
  <c r="J46" i="4" s="1"/>
  <c r="AA46" i="4" s="1"/>
  <c r="H48" i="4"/>
  <c r="J48" i="4" s="1"/>
  <c r="AA48" i="4" s="1"/>
  <c r="H49" i="4"/>
  <c r="J49" i="4" s="1"/>
  <c r="AA49" i="4" s="1"/>
  <c r="H50" i="4"/>
  <c r="J50" i="4" s="1"/>
  <c r="AA50" i="4" s="1"/>
  <c r="L27" i="4"/>
  <c r="L14" i="4"/>
  <c r="J24" i="2" l="1"/>
  <c r="J16" i="2"/>
  <c r="J21" i="2"/>
  <c r="J23" i="2"/>
  <c r="J19" i="2"/>
  <c r="AB40" i="4"/>
  <c r="AB46" i="4"/>
  <c r="AB44" i="4"/>
  <c r="AB25" i="4"/>
  <c r="AB39" i="4"/>
  <c r="AB7" i="4"/>
  <c r="AB17" i="4"/>
  <c r="AB12" i="4"/>
  <c r="AB13" i="4"/>
  <c r="AB32" i="4"/>
  <c r="AB8" i="4"/>
  <c r="AB14" i="4"/>
  <c r="AB43" i="4"/>
  <c r="AB47" i="4"/>
  <c r="AB31" i="4"/>
  <c r="AB36" i="4"/>
  <c r="AB20" i="4"/>
  <c r="AB19" i="4"/>
  <c r="AB45" i="4"/>
  <c r="AB30" i="4"/>
  <c r="AB50" i="4"/>
  <c r="AB24" i="4"/>
  <c r="AB16" i="4"/>
  <c r="AB28" i="4"/>
  <c r="AB35" i="4"/>
  <c r="AB33" i="4"/>
  <c r="AB38" i="4"/>
  <c r="AB18" i="4"/>
  <c r="AB34" i="4"/>
  <c r="AB11" i="4"/>
  <c r="AB27" i="4"/>
  <c r="AB49" i="4"/>
  <c r="AB23" i="4"/>
  <c r="AB22" i="4"/>
  <c r="L36" i="4"/>
  <c r="L38" i="4"/>
  <c r="L44" i="4"/>
  <c r="L18" i="4"/>
  <c r="L45" i="4"/>
  <c r="L41" i="4"/>
  <c r="L29" i="4"/>
  <c r="L26" i="4"/>
  <c r="L23" i="4"/>
  <c r="L9" i="4"/>
  <c r="L47" i="4"/>
  <c r="L49" i="4"/>
  <c r="L5" i="4"/>
  <c r="L46" i="4"/>
  <c r="L30" i="4"/>
  <c r="M45" i="4"/>
  <c r="M10" i="4"/>
  <c r="M29" i="4"/>
  <c r="M46" i="4"/>
  <c r="M47" i="4"/>
  <c r="M38" i="4"/>
  <c r="M9" i="4"/>
  <c r="M5" i="4"/>
  <c r="M23" i="4"/>
  <c r="M41" i="4"/>
  <c r="M49" i="4"/>
  <c r="M36" i="4"/>
  <c r="M30" i="4"/>
  <c r="M26" i="4"/>
  <c r="M48" i="4"/>
  <c r="L28" i="4"/>
  <c r="L10" i="4"/>
  <c r="L37" i="4"/>
  <c r="L42" i="4"/>
  <c r="L16" i="4"/>
  <c r="L40" i="4"/>
  <c r="L15" i="4"/>
  <c r="M15" i="4"/>
  <c r="M11" i="4"/>
  <c r="L35" i="4"/>
  <c r="M39" i="4"/>
  <c r="M14" i="4"/>
  <c r="M44" i="4"/>
  <c r="L39" i="4"/>
  <c r="M31" i="4"/>
  <c r="L31" i="4"/>
  <c r="L32" i="4"/>
  <c r="L50" i="4"/>
  <c r="L22" i="4"/>
  <c r="L24" i="4"/>
  <c r="M37" i="4"/>
  <c r="M42" i="4"/>
  <c r="M18" i="4"/>
  <c r="M34" i="4"/>
  <c r="L11" i="4"/>
  <c r="M16" i="4"/>
  <c r="M17" i="4"/>
  <c r="M33" i="4"/>
  <c r="L6" i="4"/>
  <c r="M43" i="4"/>
  <c r="M6" i="4"/>
  <c r="M35" i="4"/>
  <c r="M20" i="4"/>
  <c r="M27" i="4"/>
  <c r="M7" i="4"/>
  <c r="M28" i="4"/>
  <c r="M19" i="4"/>
  <c r="M25" i="4"/>
  <c r="L12" i="4"/>
  <c r="M21" i="4"/>
  <c r="M8" i="4"/>
  <c r="L34" i="4"/>
  <c r="M24" i="4"/>
  <c r="L20" i="4"/>
  <c r="L13" i="4"/>
  <c r="M32" i="4"/>
  <c r="L21" i="4"/>
  <c r="M13" i="4"/>
  <c r="L43" i="4"/>
  <c r="L25" i="4"/>
  <c r="L17" i="4"/>
  <c r="M22" i="4"/>
  <c r="L8" i="4"/>
  <c r="M12" i="4"/>
  <c r="M50" i="4"/>
  <c r="L48" i="4"/>
  <c r="L19" i="4"/>
  <c r="L33" i="4"/>
  <c r="L7" i="4"/>
  <c r="M40" i="4"/>
  <c r="J20" i="2" l="1"/>
  <c r="J18" i="2"/>
  <c r="J22" i="2"/>
  <c r="J25" i="2"/>
  <c r="J17" i="2"/>
  <c r="R32" i="4"/>
  <c r="AC32" i="4" s="1"/>
  <c r="V32" i="4"/>
  <c r="AD32" i="4" s="1"/>
  <c r="R43" i="4"/>
  <c r="AC43" i="4" s="1"/>
  <c r="V43" i="4"/>
  <c r="AD43" i="4" s="1"/>
  <c r="R23" i="4"/>
  <c r="AC23" i="4" s="1"/>
  <c r="V23" i="4"/>
  <c r="AD23" i="4" s="1"/>
  <c r="R8" i="4"/>
  <c r="AC8" i="4" s="1"/>
  <c r="AD8" i="4"/>
  <c r="R19" i="4"/>
  <c r="AC19" i="4" s="1"/>
  <c r="V19" i="4"/>
  <c r="AD19" i="4" s="1"/>
  <c r="R20" i="4"/>
  <c r="AC20" i="4" s="1"/>
  <c r="V20" i="4"/>
  <c r="AD20" i="4" s="1"/>
  <c r="R37" i="4"/>
  <c r="AC37" i="4" s="1"/>
  <c r="V37" i="4"/>
  <c r="AD37" i="4" s="1"/>
  <c r="R44" i="4"/>
  <c r="AC44" i="4" s="1"/>
  <c r="V44" i="4"/>
  <c r="AD44" i="4" s="1"/>
  <c r="R11" i="4"/>
  <c r="AC11" i="4" s="1"/>
  <c r="AD11" i="4"/>
  <c r="R36" i="4"/>
  <c r="AC36" i="4" s="1"/>
  <c r="V36" i="4"/>
  <c r="AD36" i="4" s="1"/>
  <c r="V5" i="4"/>
  <c r="AD5" i="4" s="1"/>
  <c r="F15" i="2" s="1"/>
  <c r="R46" i="4"/>
  <c r="AC46" i="4" s="1"/>
  <c r="V46" i="4"/>
  <c r="AD46" i="4" s="1"/>
  <c r="H25" i="2" s="1"/>
  <c r="R25" i="4"/>
  <c r="AC25" i="4" s="1"/>
  <c r="V25" i="4"/>
  <c r="AD25" i="4" s="1"/>
  <c r="H20" i="2" s="1"/>
  <c r="R16" i="4"/>
  <c r="AC16" i="4" s="1"/>
  <c r="V16" i="4"/>
  <c r="AD16" i="4" s="1"/>
  <c r="R47" i="4"/>
  <c r="AC47" i="4" s="1"/>
  <c r="V47" i="4"/>
  <c r="AD47" i="4" s="1"/>
  <c r="R40" i="4"/>
  <c r="AC40" i="4" s="1"/>
  <c r="V40" i="4"/>
  <c r="AD40" i="4" s="1"/>
  <c r="R22" i="4"/>
  <c r="AC22" i="4" s="1"/>
  <c r="V22" i="4"/>
  <c r="AD22" i="4" s="1"/>
  <c r="R13" i="4"/>
  <c r="AC13" i="4" s="1"/>
  <c r="AD13" i="4"/>
  <c r="H17" i="2" s="1"/>
  <c r="R21" i="4"/>
  <c r="AC21" i="4" s="1"/>
  <c r="V21" i="4"/>
  <c r="AD21" i="4" s="1"/>
  <c r="R28" i="4"/>
  <c r="AC28" i="4" s="1"/>
  <c r="V28" i="4"/>
  <c r="AD28" i="4" s="1"/>
  <c r="R35" i="4"/>
  <c r="AC35" i="4" s="1"/>
  <c r="V35" i="4"/>
  <c r="AD35" i="4" s="1"/>
  <c r="R33" i="4"/>
  <c r="AC33" i="4" s="1"/>
  <c r="V33" i="4"/>
  <c r="AD33" i="4" s="1"/>
  <c r="H22" i="2" s="1"/>
  <c r="R34" i="4"/>
  <c r="AC34" i="4" s="1"/>
  <c r="V34" i="4"/>
  <c r="AD34" i="4" s="1"/>
  <c r="R14" i="4"/>
  <c r="AC14" i="4" s="1"/>
  <c r="AD14" i="4"/>
  <c r="R15" i="4"/>
  <c r="AC15" i="4" s="1"/>
  <c r="V15" i="4"/>
  <c r="AD15" i="4" s="1"/>
  <c r="R48" i="4"/>
  <c r="AC48" i="4" s="1"/>
  <c r="V48" i="4"/>
  <c r="AD48" i="4" s="1"/>
  <c r="R49" i="4"/>
  <c r="AC49" i="4" s="1"/>
  <c r="V49" i="4"/>
  <c r="AD49" i="4" s="1"/>
  <c r="R9" i="4"/>
  <c r="AC9" i="4" s="1"/>
  <c r="AD9" i="4"/>
  <c r="R29" i="4"/>
  <c r="AC29" i="4" s="1"/>
  <c r="V29" i="4"/>
  <c r="AD29" i="4" s="1"/>
  <c r="R12" i="4"/>
  <c r="AC12" i="4" s="1"/>
  <c r="AD12" i="4"/>
  <c r="R27" i="4"/>
  <c r="AC27" i="4" s="1"/>
  <c r="V27" i="4"/>
  <c r="AD27" i="4" s="1"/>
  <c r="R42" i="4"/>
  <c r="AC42" i="4" s="1"/>
  <c r="V42" i="4"/>
  <c r="AD42" i="4" s="1"/>
  <c r="R30" i="4"/>
  <c r="AC30" i="4" s="1"/>
  <c r="V30" i="4"/>
  <c r="AD30" i="4" s="1"/>
  <c r="R45" i="4"/>
  <c r="AC45" i="4" s="1"/>
  <c r="V45" i="4"/>
  <c r="AD45" i="4" s="1"/>
  <c r="R50" i="4"/>
  <c r="AC50" i="4" s="1"/>
  <c r="V50" i="4"/>
  <c r="AD50" i="4" s="1"/>
  <c r="R24" i="4"/>
  <c r="AC24" i="4" s="1"/>
  <c r="V24" i="4"/>
  <c r="AD24" i="4" s="1"/>
  <c r="R7" i="4"/>
  <c r="AC7" i="4" s="1"/>
  <c r="AD7" i="4"/>
  <c r="R6" i="4"/>
  <c r="AC6" i="4" s="1"/>
  <c r="AD6" i="4"/>
  <c r="R17" i="4"/>
  <c r="AC17" i="4" s="1"/>
  <c r="V17" i="4"/>
  <c r="AD17" i="4" s="1"/>
  <c r="H18" i="2" s="1"/>
  <c r="R18" i="4"/>
  <c r="AC18" i="4" s="1"/>
  <c r="V18" i="4"/>
  <c r="AD18" i="4" s="1"/>
  <c r="R31" i="4"/>
  <c r="AC31" i="4" s="1"/>
  <c r="V31" i="4"/>
  <c r="AD31" i="4" s="1"/>
  <c r="R39" i="4"/>
  <c r="AC39" i="4" s="1"/>
  <c r="V39" i="4"/>
  <c r="AD39" i="4" s="1"/>
  <c r="R26" i="4"/>
  <c r="AC26" i="4" s="1"/>
  <c r="V26" i="4"/>
  <c r="AD26" i="4" s="1"/>
  <c r="R41" i="4"/>
  <c r="AC41" i="4" s="1"/>
  <c r="V41" i="4"/>
  <c r="AD41" i="4" s="1"/>
  <c r="R38" i="4"/>
  <c r="AC38" i="4" s="1"/>
  <c r="V38" i="4"/>
  <c r="AD38" i="4" s="1"/>
  <c r="R10" i="4"/>
  <c r="AC10" i="4" s="1"/>
  <c r="AD10" i="4"/>
  <c r="F25" i="2" l="1"/>
  <c r="H19" i="2"/>
  <c r="F19" i="2"/>
  <c r="H24" i="2"/>
  <c r="F24" i="2"/>
  <c r="H16" i="2"/>
  <c r="F16" i="2"/>
  <c r="H23" i="2"/>
  <c r="F23" i="2"/>
  <c r="F18" i="2"/>
  <c r="H21" i="2"/>
  <c r="F21" i="2"/>
  <c r="F17" i="2"/>
  <c r="F22" i="2"/>
  <c r="F20" i="2"/>
  <c r="H15" i="2"/>
  <c r="E15" i="2"/>
  <c r="G24" i="2"/>
  <c r="E24" i="2"/>
  <c r="G16" i="2"/>
  <c r="E16" i="2"/>
  <c r="G22" i="2"/>
  <c r="E22" i="2"/>
  <c r="G17" i="2"/>
  <c r="E17" i="2"/>
  <c r="G25" i="2"/>
  <c r="E25" i="2"/>
  <c r="G23" i="2"/>
  <c r="E23" i="2"/>
  <c r="G18" i="2"/>
  <c r="E18" i="2"/>
  <c r="G21" i="2"/>
  <c r="E21" i="2"/>
  <c r="G19" i="2"/>
  <c r="E19" i="2"/>
  <c r="G20" i="2"/>
  <c r="E20" i="2"/>
</calcChain>
</file>

<file path=xl/sharedStrings.xml><?xml version="1.0" encoding="utf-8"?>
<sst xmlns="http://schemas.openxmlformats.org/spreadsheetml/2006/main" count="176" uniqueCount="96">
  <si>
    <t>l/min</t>
  </si>
  <si>
    <t>Vmax</t>
  </si>
  <si>
    <t>m/sec</t>
  </si>
  <si>
    <t>Area</t>
  </si>
  <si>
    <t>l/sec</t>
  </si>
  <si>
    <t>l/hr</t>
  </si>
  <si>
    <t>m3/hr</t>
  </si>
  <si>
    <t>Ml/day</t>
  </si>
  <si>
    <t>ft3/hr</t>
  </si>
  <si>
    <t xml:space="preserve"> </t>
  </si>
  <si>
    <t>mm</t>
  </si>
  <si>
    <t>FLOWRATE</t>
  </si>
  <si>
    <t>% of Span</t>
  </si>
  <si>
    <t>%  of  Rate</t>
  </si>
  <si>
    <t xml:space="preserve">  </t>
  </si>
  <si>
    <t>Ceramic/PFA</t>
  </si>
  <si>
    <t>Non ceramic/PFA</t>
  </si>
  <si>
    <t>%  of  Span</t>
  </si>
  <si>
    <t>Velocity</t>
  </si>
  <si>
    <t>Velocity mm/s</t>
  </si>
  <si>
    <t>Error &gt;=25-400</t>
  </si>
  <si>
    <t>Error &gt;400mm</t>
  </si>
  <si>
    <t>ERROR (% of Rate)</t>
  </si>
  <si>
    <t>PFA</t>
  </si>
  <si>
    <t>Ceramic</t>
  </si>
  <si>
    <t>ft/sec</t>
  </si>
  <si>
    <t>gal/sec</t>
  </si>
  <si>
    <t>gal/min</t>
  </si>
  <si>
    <t>gal/hour</t>
  </si>
  <si>
    <t>ACCURACY  STATEMENT</t>
  </si>
  <si>
    <t>Inches</t>
  </si>
  <si>
    <t>0.1</t>
  </si>
  <si>
    <t>Area look up</t>
  </si>
  <si>
    <t>This is to be used for reference only</t>
  </si>
  <si>
    <t xml:space="preserve">Bore size </t>
  </si>
  <si>
    <t>&lt;-------Select Inches or mm from drop down menu, then select size from drop down menu</t>
  </si>
  <si>
    <t>&lt;-------Enter flow rate, then select flow rate unit from drop down menu</t>
  </si>
  <si>
    <t>Promag 50P</t>
  </si>
  <si>
    <t>Promag 53P</t>
  </si>
  <si>
    <t>AXF Standard accuracy</t>
  </si>
  <si>
    <t>AXF Standard</t>
  </si>
  <si>
    <t>Error &gt;=25-200</t>
  </si>
  <si>
    <t>EPM - Standard</t>
  </si>
  <si>
    <t>Optiflux 4100</t>
  </si>
  <si>
    <t>Optiflux 4300</t>
  </si>
  <si>
    <t>AXF High accuracy</t>
  </si>
  <si>
    <t>AXF - Standard Accuracy</t>
  </si>
  <si>
    <t>AXF - High Accuracy</t>
  </si>
  <si>
    <t xml:space="preserve">size </t>
  </si>
  <si>
    <t>Liner</t>
  </si>
  <si>
    <t>AXF Liner</t>
  </si>
  <si>
    <t>Natural Soft Rubber</t>
  </si>
  <si>
    <t>Hard Rubber</t>
  </si>
  <si>
    <t>Polyurethane Rubber</t>
  </si>
  <si>
    <t>The Above values are used as a look up tabel to determine the velocity of flow through a certain sized tube based on the flow rate unit</t>
  </si>
  <si>
    <t>Drop Down Lists</t>
  </si>
  <si>
    <t>Size Units</t>
  </si>
  <si>
    <t>Liner Group</t>
  </si>
  <si>
    <t>Size in mm</t>
  </si>
  <si>
    <t>Size in Inches</t>
  </si>
  <si>
    <t>Flow Unit</t>
  </si>
  <si>
    <t>gal/hr</t>
  </si>
  <si>
    <t>Model Number</t>
  </si>
  <si>
    <t>Size look up (Used for drop down menu for "Accuracy Statement)</t>
  </si>
  <si>
    <t>Cuurent drop down menu limited from            0.5"-16" or 15mm to 400mm</t>
  </si>
  <si>
    <t>Size of the unit</t>
  </si>
  <si>
    <t>15mm</t>
  </si>
  <si>
    <t>25-400mm</t>
  </si>
  <si>
    <t>Poly, HR, NSR</t>
  </si>
  <si>
    <t>Liner Group Type</t>
  </si>
  <si>
    <t>PFA/Ceramic</t>
  </si>
  <si>
    <t>25-200</t>
  </si>
  <si>
    <t>Final PFA/Ceramic Accuracy</t>
  </si>
  <si>
    <t>15-400mm</t>
  </si>
  <si>
    <t>Final High accuracy</t>
  </si>
  <si>
    <t>Flow</t>
  </si>
  <si>
    <t>% Span</t>
  </si>
  <si>
    <t>EPM- High</t>
  </si>
  <si>
    <t>Final Accuracy For</t>
  </si>
  <si>
    <t>Other</t>
  </si>
  <si>
    <t>RXF</t>
  </si>
  <si>
    <t>AXG High accuracy</t>
  </si>
  <si>
    <t>AXG Standard accuracy</t>
  </si>
  <si>
    <t>AXW Standard Accuracy</t>
  </si>
  <si>
    <t>AXG Standard</t>
  </si>
  <si>
    <t>Final AXG PFA/Ceramic Accuracy</t>
  </si>
  <si>
    <t>AXW Standard</t>
  </si>
  <si>
    <t>AXG - Standard Accuracy</t>
  </si>
  <si>
    <t>AXG - High Accuracy</t>
  </si>
  <si>
    <t>ABB FEP 300</t>
  </si>
  <si>
    <t>ABB FEP 500</t>
  </si>
  <si>
    <t>ABB FEP 300/500 High</t>
  </si>
  <si>
    <t>ABB Q Max values</t>
  </si>
  <si>
    <t>M3/hr</t>
  </si>
  <si>
    <t xml:space="preserve">ABB Q Max look up </t>
  </si>
  <si>
    <t>AXW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</si>
</sst>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(* #,##0.00_);_(* \(#,##0.00\);_(* &quot;-&quot;??_);_(@_)"/>
    <numFmt numFmtId="177" formatCode="0.0000"/>
    <numFmt numFmtId="178" formatCode="0.000"/>
    <numFmt numFmtId="179" formatCode="0.0"/>
  </numFmts>
  <fonts count="15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1"/>
      <color rgb="FF006100"/>
      <name val="宋体"/>
      <family val="2"/>
      <scheme val="minor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0" fontId="9" fillId="3" borderId="0" applyNumberFormat="0" applyBorder="0" applyAlignment="0" applyProtection="0"/>
  </cellStyleXfs>
  <cellXfs count="188">
    <xf numFmtId="0" fontId="0" fillId="0" borderId="0" xfId="0"/>
    <xf numFmtId="2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Alignment="1" applyProtection="1">
      <alignment horizontal="center"/>
    </xf>
    <xf numFmtId="0" fontId="0" fillId="0" borderId="0" xfId="0" applyProtection="1"/>
    <xf numFmtId="0" fontId="5" fillId="0" borderId="0" xfId="0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77" fontId="0" fillId="0" borderId="1" xfId="0" applyNumberFormat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0" fontId="0" fillId="0" borderId="1" xfId="0" applyBorder="1" applyProtection="1"/>
    <xf numFmtId="178" fontId="0" fillId="0" borderId="1" xfId="0" applyNumberFormat="1" applyBorder="1" applyAlignment="1" applyProtection="1">
      <alignment horizontal="center"/>
    </xf>
    <xf numFmtId="179" fontId="0" fillId="0" borderId="1" xfId="0" applyNumberForma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7" fillId="0" borderId="0" xfId="0" applyFont="1" applyProtection="1"/>
    <xf numFmtId="0" fontId="0" fillId="0" borderId="0" xfId="0" applyFill="1" applyBorder="1" applyProtection="1"/>
    <xf numFmtId="0" fontId="6" fillId="0" borderId="0" xfId="0" applyFont="1" applyAlignment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8" fillId="0" borderId="0" xfId="0" applyFont="1"/>
    <xf numFmtId="0" fontId="0" fillId="0" borderId="11" xfId="0" applyBorder="1"/>
    <xf numFmtId="0" fontId="0" fillId="0" borderId="7" xfId="0" applyBorder="1"/>
    <xf numFmtId="0" fontId="8" fillId="0" borderId="7" xfId="0" applyFont="1" applyBorder="1"/>
    <xf numFmtId="0" fontId="0" fillId="0" borderId="0" xfId="0" applyAlignment="1">
      <alignment horizontal="center" vertical="center" wrapText="1"/>
    </xf>
    <xf numFmtId="176" fontId="0" fillId="0" borderId="0" xfId="1" applyFont="1"/>
    <xf numFmtId="0" fontId="4" fillId="0" borderId="16" xfId="0" applyFon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8" fillId="0" borderId="0" xfId="0" applyNumberFormat="1" applyFont="1"/>
    <xf numFmtId="0" fontId="6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8" fillId="0" borderId="0" xfId="0" applyFont="1" applyProtection="1"/>
    <xf numFmtId="178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177" fontId="4" fillId="0" borderId="6" xfId="0" applyNumberFormat="1" applyFont="1" applyFill="1" applyBorder="1" applyProtection="1"/>
    <xf numFmtId="0" fontId="0" fillId="0" borderId="23" xfId="0" applyBorder="1"/>
    <xf numFmtId="0" fontId="0" fillId="0" borderId="13" xfId="0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1" fontId="0" fillId="0" borderId="13" xfId="0" applyNumberFormat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0" fontId="4" fillId="0" borderId="0" xfId="0" applyFont="1" applyAlignment="1">
      <alignment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1" fillId="0" borderId="22" xfId="0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0" fontId="0" fillId="0" borderId="14" xfId="0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center"/>
    </xf>
    <xf numFmtId="2" fontId="1" fillId="0" borderId="33" xfId="0" applyNumberFormat="1" applyFont="1" applyFill="1" applyBorder="1" applyAlignment="1" applyProtection="1">
      <alignment horizontal="center"/>
    </xf>
    <xf numFmtId="2" fontId="1" fillId="0" borderId="34" xfId="0" applyNumberFormat="1" applyFont="1" applyFill="1" applyBorder="1" applyAlignment="1" applyProtection="1">
      <alignment horizontal="center"/>
    </xf>
    <xf numFmtId="0" fontId="9" fillId="3" borderId="16" xfId="2" applyBorder="1" applyProtection="1"/>
    <xf numFmtId="0" fontId="1" fillId="0" borderId="17" xfId="0" applyFont="1" applyBorder="1" applyProtection="1"/>
    <xf numFmtId="0" fontId="4" fillId="0" borderId="13" xfId="0" applyFont="1" applyFill="1" applyBorder="1" applyAlignment="1" applyProtection="1">
      <alignment horizontal="center"/>
    </xf>
    <xf numFmtId="0" fontId="0" fillId="0" borderId="17" xfId="0" applyBorder="1"/>
    <xf numFmtId="0" fontId="0" fillId="0" borderId="16" xfId="0" applyBorder="1"/>
    <xf numFmtId="2" fontId="0" fillId="0" borderId="36" xfId="0" applyNumberFormat="1" applyBorder="1" applyAlignment="1">
      <alignment horizontal="center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0" xfId="0" applyBorder="1" applyAlignment="1">
      <alignment horizontal="center"/>
    </xf>
    <xf numFmtId="0" fontId="0" fillId="0" borderId="35" xfId="0" applyBorder="1" applyAlignment="1">
      <alignment horizontal="center"/>
    </xf>
    <xf numFmtId="178" fontId="0" fillId="0" borderId="1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178" fontId="0" fillId="0" borderId="29" xfId="0" applyNumberFormat="1" applyBorder="1" applyAlignment="1">
      <alignment horizontal="center"/>
    </xf>
    <xf numFmtId="178" fontId="0" fillId="0" borderId="13" xfId="0" applyNumberForma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8" fontId="0" fillId="0" borderId="33" xfId="0" applyNumberFormat="1" applyBorder="1" applyAlignment="1">
      <alignment horizontal="center"/>
    </xf>
    <xf numFmtId="178" fontId="0" fillId="0" borderId="34" xfId="0" applyNumberFormat="1" applyBorder="1" applyAlignment="1">
      <alignment horizontal="center"/>
    </xf>
    <xf numFmtId="178" fontId="0" fillId="0" borderId="25" xfId="0" applyNumberFormat="1" applyBorder="1" applyAlignment="1">
      <alignment horizontal="center"/>
    </xf>
    <xf numFmtId="178" fontId="0" fillId="0" borderId="26" xfId="0" applyNumberFormat="1" applyBorder="1" applyAlignment="1">
      <alignment horizontal="center"/>
    </xf>
    <xf numFmtId="178" fontId="0" fillId="0" borderId="15" xfId="0" applyNumberFormat="1" applyBorder="1" applyAlignment="1">
      <alignment horizontal="center"/>
    </xf>
    <xf numFmtId="178" fontId="0" fillId="0" borderId="36" xfId="0" applyNumberFormat="1" applyBorder="1" applyAlignment="1">
      <alignment horizontal="center"/>
    </xf>
    <xf numFmtId="0" fontId="8" fillId="0" borderId="17" xfId="0" applyFont="1" applyBorder="1"/>
    <xf numFmtId="0" fontId="4" fillId="4" borderId="16" xfId="0" applyFont="1" applyFill="1" applyBorder="1" applyAlignment="1">
      <alignment horizontal="center"/>
    </xf>
    <xf numFmtId="179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9" fontId="0" fillId="0" borderId="24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179" fontId="0" fillId="0" borderId="18" xfId="0" applyNumberFormat="1" applyFill="1" applyBorder="1" applyAlignment="1">
      <alignment horizontal="center" vertical="center"/>
    </xf>
    <xf numFmtId="177" fontId="0" fillId="0" borderId="9" xfId="0" applyNumberFormat="1" applyFill="1" applyBorder="1" applyAlignment="1">
      <alignment horizontal="center" vertical="center"/>
    </xf>
    <xf numFmtId="177" fontId="0" fillId="0" borderId="10" xfId="0" applyNumberFormat="1" applyFill="1" applyBorder="1" applyAlignment="1">
      <alignment horizontal="center" vertical="center"/>
    </xf>
    <xf numFmtId="0" fontId="2" fillId="0" borderId="16" xfId="0" applyFont="1" applyFill="1" applyBorder="1"/>
    <xf numFmtId="176" fontId="0" fillId="0" borderId="14" xfId="1" applyFont="1" applyBorder="1" applyAlignment="1">
      <alignment horizontal="center" vertical="center"/>
    </xf>
    <xf numFmtId="176" fontId="2" fillId="0" borderId="16" xfId="1" applyFont="1" applyBorder="1"/>
    <xf numFmtId="176" fontId="0" fillId="0" borderId="36" xfId="1" applyFont="1" applyBorder="1" applyAlignment="1">
      <alignment horizontal="center" vertical="center"/>
    </xf>
    <xf numFmtId="176" fontId="0" fillId="0" borderId="26" xfId="1" applyFont="1" applyBorder="1" applyAlignment="1">
      <alignment horizontal="center" vertical="center"/>
    </xf>
    <xf numFmtId="176" fontId="0" fillId="0" borderId="15" xfId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78" fontId="0" fillId="0" borderId="5" xfId="0" applyNumberFormat="1" applyBorder="1" applyAlignment="1">
      <alignment horizontal="center"/>
    </xf>
    <xf numFmtId="178" fontId="0" fillId="0" borderId="32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78" fontId="0" fillId="0" borderId="10" xfId="0" applyNumberFormat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0" fillId="5" borderId="24" xfId="0" applyNumberFormat="1" applyFill="1" applyBorder="1" applyAlignment="1">
      <alignment horizontal="center"/>
    </xf>
    <xf numFmtId="2" fontId="0" fillId="5" borderId="18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178" fontId="0" fillId="5" borderId="3" xfId="0" applyNumberFormat="1" applyFill="1" applyBorder="1" applyAlignment="1">
      <alignment horizontal="center"/>
    </xf>
    <xf numFmtId="178" fontId="0" fillId="5" borderId="1" xfId="0" applyNumberFormat="1" applyFill="1" applyBorder="1" applyAlignment="1">
      <alignment horizontal="center"/>
    </xf>
    <xf numFmtId="178" fontId="0" fillId="5" borderId="9" xfId="0" applyNumberForma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 wrapText="1"/>
    </xf>
    <xf numFmtId="2" fontId="0" fillId="0" borderId="37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5" borderId="40" xfId="0" applyNumberFormat="1" applyFill="1" applyBorder="1" applyAlignment="1">
      <alignment horizontal="center"/>
    </xf>
    <xf numFmtId="2" fontId="0" fillId="5" borderId="41" xfId="0" applyNumberFormat="1" applyFill="1" applyBorder="1" applyAlignment="1">
      <alignment horizontal="center"/>
    </xf>
    <xf numFmtId="2" fontId="0" fillId="5" borderId="42" xfId="0" applyNumberFormat="1" applyFill="1" applyBorder="1" applyAlignment="1">
      <alignment horizontal="center"/>
    </xf>
    <xf numFmtId="0" fontId="8" fillId="5" borderId="35" xfId="0" applyFont="1" applyFill="1" applyBorder="1" applyAlignment="1">
      <alignment horizontal="center"/>
    </xf>
    <xf numFmtId="0" fontId="10" fillId="0" borderId="2" xfId="0" applyFont="1" applyFill="1" applyBorder="1" applyAlignment="1" applyProtection="1">
      <alignment horizontal="left"/>
    </xf>
    <xf numFmtId="0" fontId="11" fillId="2" borderId="3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Protection="1">
      <protection locked="0"/>
    </xf>
    <xf numFmtId="0" fontId="10" fillId="0" borderId="24" xfId="0" applyFont="1" applyFill="1" applyBorder="1" applyAlignment="1" applyProtection="1">
      <alignment horizontal="left"/>
    </xf>
    <xf numFmtId="0" fontId="11" fillId="2" borderId="1" xfId="0" applyFont="1" applyFill="1" applyBorder="1" applyAlignment="1" applyProtection="1">
      <alignment horizontal="center"/>
      <protection locked="0"/>
    </xf>
    <xf numFmtId="2" fontId="11" fillId="2" borderId="32" xfId="0" applyNumberFormat="1" applyFont="1" applyFill="1" applyBorder="1" applyProtection="1">
      <protection locked="0"/>
    </xf>
    <xf numFmtId="0" fontId="10" fillId="0" borderId="18" xfId="0" applyFont="1" applyFill="1" applyBorder="1" applyAlignment="1" applyProtection="1">
      <alignment horizontal="left"/>
    </xf>
    <xf numFmtId="0" fontId="13" fillId="0" borderId="17" xfId="0" applyFont="1" applyFill="1" applyBorder="1" applyAlignment="1" applyProtection="1">
      <alignment horizontal="center"/>
    </xf>
    <xf numFmtId="177" fontId="13" fillId="0" borderId="2" xfId="0" applyNumberFormat="1" applyFont="1" applyFill="1" applyBorder="1" applyProtection="1"/>
    <xf numFmtId="0" fontId="13" fillId="0" borderId="5" xfId="0" applyFont="1" applyFill="1" applyBorder="1" applyProtection="1"/>
    <xf numFmtId="0" fontId="11" fillId="0" borderId="0" xfId="0" applyFont="1" applyFill="1" applyAlignment="1" applyProtection="1">
      <alignment horizontal="center"/>
    </xf>
    <xf numFmtId="177" fontId="13" fillId="0" borderId="18" xfId="0" applyNumberFormat="1" applyFont="1" applyFill="1" applyBorder="1" applyProtection="1"/>
    <xf numFmtId="0" fontId="13" fillId="0" borderId="10" xfId="0" applyFont="1" applyFill="1" applyBorder="1" applyProtection="1"/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2" fontId="11" fillId="0" borderId="36" xfId="0" applyNumberFormat="1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28" xfId="0" applyFont="1" applyFill="1" applyBorder="1" applyAlignment="1" applyProtection="1">
      <alignment horizontal="center" vertical="center" wrapText="1"/>
      <protection locked="0"/>
    </xf>
    <xf numFmtId="0" fontId="9" fillId="3" borderId="16" xfId="2" applyBorder="1"/>
    <xf numFmtId="0" fontId="12" fillId="0" borderId="43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2" fontId="11" fillId="0" borderId="26" xfId="0" applyNumberFormat="1" applyFont="1" applyBorder="1" applyAlignment="1">
      <alignment horizontal="center"/>
    </xf>
    <xf numFmtId="2" fontId="11" fillId="0" borderId="15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177" fontId="0" fillId="5" borderId="36" xfId="0" applyNumberFormat="1" applyFill="1" applyBorder="1" applyAlignment="1">
      <alignment horizontal="center"/>
    </xf>
    <xf numFmtId="177" fontId="0" fillId="5" borderId="26" xfId="0" applyNumberFormat="1" applyFill="1" applyBorder="1" applyAlignment="1">
      <alignment horizontal="center"/>
    </xf>
    <xf numFmtId="177" fontId="0" fillId="5" borderId="15" xfId="0" applyNumberForma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2" fontId="0" fillId="5" borderId="26" xfId="0" applyNumberFormat="1" applyFill="1" applyBorder="1" applyAlignment="1">
      <alignment horizontal="center"/>
    </xf>
    <xf numFmtId="178" fontId="0" fillId="0" borderId="4" xfId="0" applyNumberFormat="1" applyBorder="1" applyAlignment="1">
      <alignment horizontal="center"/>
    </xf>
    <xf numFmtId="178" fontId="0" fillId="0" borderId="27" xfId="0" applyNumberFormat="1" applyBorder="1" applyAlignment="1">
      <alignment horizontal="center"/>
    </xf>
    <xf numFmtId="0" fontId="0" fillId="0" borderId="1" xfId="0" applyBorder="1"/>
    <xf numFmtId="0" fontId="2" fillId="0" borderId="0" xfId="0" applyFont="1" applyBorder="1" applyAlignment="1" applyProtection="1">
      <alignment horizontal="center"/>
    </xf>
    <xf numFmtId="0" fontId="0" fillId="0" borderId="0" xfId="0" applyBorder="1"/>
    <xf numFmtId="0" fontId="0" fillId="0" borderId="0" xfId="0" applyBorder="1" applyAlignment="1" applyProtection="1">
      <alignment horizontal="center"/>
    </xf>
    <xf numFmtId="0" fontId="0" fillId="4" borderId="16" xfId="0" applyFill="1" applyBorder="1"/>
    <xf numFmtId="178" fontId="0" fillId="0" borderId="41" xfId="0" applyNumberFormat="1" applyBorder="1" applyAlignment="1">
      <alignment horizontal="center"/>
    </xf>
    <xf numFmtId="0" fontId="2" fillId="0" borderId="30" xfId="0" applyFont="1" applyFill="1" applyBorder="1"/>
    <xf numFmtId="177" fontId="0" fillId="0" borderId="0" xfId="0" applyNumberFormat="1"/>
    <xf numFmtId="2" fontId="0" fillId="6" borderId="38" xfId="0" applyNumberForma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4" fillId="0" borderId="30" xfId="0" applyFont="1" applyFill="1" applyBorder="1" applyAlignment="1" applyProtection="1">
      <alignment horizontal="center" vertical="center" textRotation="90" wrapText="1"/>
    </xf>
    <xf numFmtId="0" fontId="4" fillId="0" borderId="35" xfId="0" applyFont="1" applyFill="1" applyBorder="1" applyAlignment="1" applyProtection="1">
      <alignment horizontal="center" vertical="center" textRotation="90" wrapText="1"/>
    </xf>
    <xf numFmtId="0" fontId="4" fillId="0" borderId="31" xfId="0" applyFont="1" applyFill="1" applyBorder="1" applyAlignment="1" applyProtection="1">
      <alignment horizontal="center" vertical="center" textRotation="90" wrapText="1"/>
    </xf>
    <xf numFmtId="2" fontId="4" fillId="0" borderId="17" xfId="0" applyNumberFormat="1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2" fontId="4" fillId="0" borderId="20" xfId="0" applyNumberFormat="1" applyFont="1" applyBorder="1" applyAlignment="1">
      <alignment horizontal="center"/>
    </xf>
  </cellXfs>
  <cellStyles count="3">
    <cellStyle name="常规" xfId="0" builtinId="0"/>
    <cellStyle name="好" xfId="2" builtinId="26"/>
    <cellStyle name="千位分隔" xfId="1" builtinId="3"/>
  </cellStyles>
  <dxfs count="9"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  <protection locked="1" hidden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94057698854584E-2"/>
          <c:y val="3.5288099469985269E-2"/>
          <c:w val="0.71213378139448047"/>
          <c:h val="0.814986427880978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'Accuracy Statement'!$E$13</c:f>
              <c:strCache>
                <c:ptCount val="1"/>
                <c:pt idx="0">
                  <c:v>AXW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Statement'!$E$15:$E$25</c:f>
              <c:numCache>
                <c:formatCode>0.00</c:formatCode>
                <c:ptCount val="11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1.1309760000000004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'Accuracy Statement'!$F$13</c:f>
              <c:strCache>
                <c:ptCount val="1"/>
                <c:pt idx="0">
                  <c:v>AXG - Standard Accuracy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Statement'!$F$15:$F$25</c:f>
              <c:numCache>
                <c:formatCode>0.00</c:formatCode>
                <c:ptCount val="11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'Accuracy Statement'!$G$13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Statement'!$G$15:$G$25</c:f>
              <c:numCache>
                <c:formatCode>0.00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'Accuracy Statement'!$H$13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Statement'!$H$15:$H$25</c:f>
              <c:numCache>
                <c:formatCode>0.00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'Accuracy Statement'!$I$13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Statement'!$I$15:$I$25</c:f>
              <c:numCache>
                <c:formatCode>0.00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'Accuracy Statement'!$J$13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xVal>
            <c:numRef>
              <c:f>'Accuracy Statement'!$D$15:$D$25</c:f>
              <c:numCache>
                <c:formatCode>General</c:formatCode>
                <c:ptCount val="11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5</c:v>
                </c:pt>
              </c:numCache>
            </c:numRef>
          </c:xVal>
          <c:yVal>
            <c:numRef>
              <c:f>'Accuracy Statement'!$J$15:$J$25</c:f>
              <c:numCache>
                <c:formatCode>0.00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343424"/>
        <c:axId val="618383616"/>
      </c:scatterChart>
      <c:valAx>
        <c:axId val="618343424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Flow (% of Flow Span)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618383616"/>
        <c:crossesAt val="0"/>
        <c:crossBetween val="midCat"/>
      </c:valAx>
      <c:valAx>
        <c:axId val="618383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ja-JP"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ERROR (% of Rate)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cross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61834342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ja-JP"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25</xdr:row>
      <xdr:rowOff>133349</xdr:rowOff>
    </xdr:from>
    <xdr:to>
      <xdr:col>11</xdr:col>
      <xdr:colOff>114300</xdr:colOff>
      <xdr:row>62</xdr:row>
      <xdr:rowOff>133350</xdr:rowOff>
    </xdr:to>
    <xdr:graphicFrame macro="">
      <xdr:nvGraphicFramePr>
        <xdr:cNvPr id="1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431801</xdr:colOff>
      <xdr:row>0</xdr:row>
      <xdr:rowOff>8468</xdr:rowOff>
    </xdr:from>
    <xdr:to>
      <xdr:col>7</xdr:col>
      <xdr:colOff>330201</xdr:colOff>
      <xdr:row>0</xdr:row>
      <xdr:rowOff>885938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8468" y="8468"/>
          <a:ext cx="2218266" cy="8774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1276350</xdr:colOff>
      <xdr:row>27</xdr:row>
      <xdr:rowOff>114300</xdr:rowOff>
    </xdr:from>
    <xdr:to>
      <xdr:col>3</xdr:col>
      <xdr:colOff>1276350</xdr:colOff>
      <xdr:row>30</xdr:row>
      <xdr:rowOff>47625</xdr:rowOff>
    </xdr:to>
    <xdr:cxnSp macro="">
      <xdr:nvCxnSpPr>
        <xdr:cNvPr id="4" name="Straight Arrow Connector 3"/>
        <xdr:cNvCxnSpPr/>
      </xdr:nvCxnSpPr>
      <xdr:spPr>
        <a:xfrm flipV="1">
          <a:off x="2695575" y="4505325"/>
          <a:ext cx="0" cy="4191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933450</xdr:colOff>
      <xdr:row>27</xdr:row>
      <xdr:rowOff>133350</xdr:rowOff>
    </xdr:from>
    <xdr:to>
      <xdr:col>10</xdr:col>
      <xdr:colOff>933450</xdr:colOff>
      <xdr:row>30</xdr:row>
      <xdr:rowOff>66675</xdr:rowOff>
    </xdr:to>
    <xdr:cxnSp macro="">
      <xdr:nvCxnSpPr>
        <xdr:cNvPr id="6" name="Straight Arrow Connector 5"/>
        <xdr:cNvCxnSpPr/>
      </xdr:nvCxnSpPr>
      <xdr:spPr>
        <a:xfrm flipV="1">
          <a:off x="10487025" y="4524375"/>
          <a:ext cx="0" cy="4191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7</xdr:row>
      <xdr:rowOff>38100</xdr:rowOff>
    </xdr:from>
    <xdr:to>
      <xdr:col>17</xdr:col>
      <xdr:colOff>247650</xdr:colOff>
      <xdr:row>17</xdr:row>
      <xdr:rowOff>0</xdr:rowOff>
    </xdr:to>
    <xdr:sp macro="" textlink="">
      <xdr:nvSpPr>
        <xdr:cNvPr id="5" name="TextBox 4"/>
        <xdr:cNvSpPr txBox="1"/>
      </xdr:nvSpPr>
      <xdr:spPr>
        <a:xfrm>
          <a:off x="14944725" y="1209675"/>
          <a:ext cx="1981200" cy="15811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This</a:t>
          </a:r>
          <a:r>
            <a:rPr lang="en-US" sz="1400" b="1" baseline="0"/>
            <a:t> is the Area look up used to divide the flow rate by to get velocity. It is based on teh size of teh unit and the flow rate unit.</a:t>
          </a:r>
        </a:p>
        <a:p>
          <a:endParaRPr lang="en-US" sz="1100"/>
        </a:p>
      </xdr:txBody>
    </xdr:sp>
    <xdr:clientData/>
  </xdr:twoCellAnchor>
  <xdr:twoCellAnchor>
    <xdr:from>
      <xdr:col>15</xdr:col>
      <xdr:colOff>180975</xdr:colOff>
      <xdr:row>4</xdr:row>
      <xdr:rowOff>0</xdr:rowOff>
    </xdr:from>
    <xdr:to>
      <xdr:col>15</xdr:col>
      <xdr:colOff>304800</xdr:colOff>
      <xdr:row>7</xdr:row>
      <xdr:rowOff>38100</xdr:rowOff>
    </xdr:to>
    <xdr:cxnSp macro="">
      <xdr:nvCxnSpPr>
        <xdr:cNvPr id="8" name="Straight Arrow Connector 7"/>
        <xdr:cNvCxnSpPr>
          <a:stCxn id="5" idx="0"/>
        </xdr:cNvCxnSpPr>
      </xdr:nvCxnSpPr>
      <xdr:spPr>
        <a:xfrm flipV="1">
          <a:off x="15935325" y="714375"/>
          <a:ext cx="123825" cy="5238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31</xdr:row>
      <xdr:rowOff>66675</xdr:rowOff>
    </xdr:from>
    <xdr:to>
      <xdr:col>2</xdr:col>
      <xdr:colOff>561975</xdr:colOff>
      <xdr:row>35</xdr:row>
      <xdr:rowOff>76200</xdr:rowOff>
    </xdr:to>
    <xdr:sp macro="" textlink="">
      <xdr:nvSpPr>
        <xdr:cNvPr id="12" name="TextBox 11"/>
        <xdr:cNvSpPr txBox="1"/>
      </xdr:nvSpPr>
      <xdr:spPr>
        <a:xfrm>
          <a:off x="0" y="5162550"/>
          <a:ext cx="1981200" cy="15811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 baseline="0"/>
            <a:t>Coloumn changes based on the unit (mm or Inches) selected by user. Used for lookup to get the "Area look up"</a:t>
          </a:r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</xdr:col>
      <xdr:colOff>276225</xdr:colOff>
      <xdr:row>27</xdr:row>
      <xdr:rowOff>9526</xdr:rowOff>
    </xdr:from>
    <xdr:to>
      <xdr:col>2</xdr:col>
      <xdr:colOff>381000</xdr:colOff>
      <xdr:row>31</xdr:row>
      <xdr:rowOff>66675</xdr:rowOff>
    </xdr:to>
    <xdr:cxnSp macro="">
      <xdr:nvCxnSpPr>
        <xdr:cNvPr id="13" name="Straight Arrow Connector 12"/>
        <xdr:cNvCxnSpPr>
          <a:stCxn id="12" idx="0"/>
        </xdr:cNvCxnSpPr>
      </xdr:nvCxnSpPr>
      <xdr:spPr>
        <a:xfrm flipV="1">
          <a:off x="990600" y="4448176"/>
          <a:ext cx="809625" cy="71437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38100</xdr:colOff>
      <xdr:row>24</xdr:row>
      <xdr:rowOff>76200</xdr:rowOff>
    </xdr:from>
    <xdr:to>
      <xdr:col>17</xdr:col>
      <xdr:colOff>76200</xdr:colOff>
      <xdr:row>31</xdr:row>
      <xdr:rowOff>514350</xdr:rowOff>
    </xdr:to>
    <xdr:sp macro="" textlink="">
      <xdr:nvSpPr>
        <xdr:cNvPr id="15" name="TextBox 14"/>
        <xdr:cNvSpPr txBox="1"/>
      </xdr:nvSpPr>
      <xdr:spPr>
        <a:xfrm>
          <a:off x="14773275" y="4048125"/>
          <a:ext cx="1981200" cy="15811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Size of the</a:t>
          </a:r>
          <a:r>
            <a:rPr lang="en-US" sz="1400" b="1" baseline="0"/>
            <a:t> unit being calculated. Value in "mm, this is used for accuracy calculatios. Automatically updated based on user input.</a:t>
          </a:r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15</xdr:col>
      <xdr:colOff>9525</xdr:colOff>
      <xdr:row>21</xdr:row>
      <xdr:rowOff>38100</xdr:rowOff>
    </xdr:from>
    <xdr:to>
      <xdr:col>15</xdr:col>
      <xdr:colOff>133350</xdr:colOff>
      <xdr:row>24</xdr:row>
      <xdr:rowOff>76200</xdr:rowOff>
    </xdr:to>
    <xdr:cxnSp macro="">
      <xdr:nvCxnSpPr>
        <xdr:cNvPr id="16" name="Straight Arrow Connector 15"/>
        <xdr:cNvCxnSpPr>
          <a:stCxn id="15" idx="0"/>
        </xdr:cNvCxnSpPr>
      </xdr:nvCxnSpPr>
      <xdr:spPr>
        <a:xfrm flipV="1">
          <a:off x="15763875" y="3524250"/>
          <a:ext cx="123825" cy="5238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523875</xdr:colOff>
      <xdr:row>40</xdr:row>
      <xdr:rowOff>257175</xdr:rowOff>
    </xdr:from>
    <xdr:to>
      <xdr:col>15</xdr:col>
      <xdr:colOff>876300</xdr:colOff>
      <xdr:row>49</xdr:row>
      <xdr:rowOff>114300</xdr:rowOff>
    </xdr:to>
    <xdr:sp macro="" textlink="">
      <xdr:nvSpPr>
        <xdr:cNvPr id="17" name="TextBox 16"/>
        <xdr:cNvSpPr txBox="1"/>
      </xdr:nvSpPr>
      <xdr:spPr>
        <a:xfrm>
          <a:off x="14649450" y="8267700"/>
          <a:ext cx="1981200" cy="15811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Automatically</a:t>
          </a:r>
          <a:r>
            <a:rPr lang="en-US" sz="1400" b="1" baseline="0"/>
            <a:t> puls in liner type </a:t>
          </a:r>
          <a:r>
            <a:rPr lang="en-US" sz="1400" b="1"/>
            <a:t>"1,</a:t>
          </a:r>
          <a:r>
            <a:rPr lang="en-US" sz="1400" b="1" baseline="0"/>
            <a:t> 2, 3 or 4"" to determine what accuracy specification to use. This is used in the "AXF Calculator"</a:t>
          </a:r>
        </a:p>
        <a:p>
          <a:endParaRPr lang="en-US" sz="1400" b="1" baseline="0"/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14</xdr:col>
      <xdr:colOff>904875</xdr:colOff>
      <xdr:row>38</xdr:row>
      <xdr:rowOff>66675</xdr:rowOff>
    </xdr:from>
    <xdr:to>
      <xdr:col>15</xdr:col>
      <xdr:colOff>9525</xdr:colOff>
      <xdr:row>40</xdr:row>
      <xdr:rowOff>257175</xdr:rowOff>
    </xdr:to>
    <xdr:cxnSp macro="">
      <xdr:nvCxnSpPr>
        <xdr:cNvPr id="18" name="Straight Arrow Connector 17"/>
        <xdr:cNvCxnSpPr>
          <a:stCxn id="17" idx="0"/>
        </xdr:cNvCxnSpPr>
      </xdr:nvCxnSpPr>
      <xdr:spPr>
        <a:xfrm flipV="1">
          <a:off x="15640050" y="7743825"/>
          <a:ext cx="123825" cy="5238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54</xdr:row>
      <xdr:rowOff>152400</xdr:rowOff>
    </xdr:from>
    <xdr:to>
      <xdr:col>6</xdr:col>
      <xdr:colOff>266700</xdr:colOff>
      <xdr:row>64</xdr:row>
      <xdr:rowOff>114300</xdr:rowOff>
    </xdr:to>
    <xdr:sp macro="" textlink="">
      <xdr:nvSpPr>
        <xdr:cNvPr id="2" name="TextBox 1"/>
        <xdr:cNvSpPr txBox="1"/>
      </xdr:nvSpPr>
      <xdr:spPr>
        <a:xfrm>
          <a:off x="4552950" y="9315450"/>
          <a:ext cx="1981200" cy="158115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Accuracy for PFA and Ceramic depending on the size of the Unit and liner. 15mm</a:t>
          </a:r>
          <a:r>
            <a:rPr lang="en-US" sz="1400" b="1" baseline="0"/>
            <a:t> PFA/Ceramic, 25-200mm ceramic, 25-400mm PFA</a:t>
          </a:r>
        </a:p>
        <a:p>
          <a:endParaRPr lang="en-US" sz="1100"/>
        </a:p>
      </xdr:txBody>
    </xdr:sp>
    <xdr:clientData/>
  </xdr:twoCellAnchor>
  <xdr:twoCellAnchor>
    <xdr:from>
      <xdr:col>4</xdr:col>
      <xdr:colOff>838200</xdr:colOff>
      <xdr:row>50</xdr:row>
      <xdr:rowOff>0</xdr:rowOff>
    </xdr:from>
    <xdr:to>
      <xdr:col>5</xdr:col>
      <xdr:colOff>504825</xdr:colOff>
      <xdr:row>54</xdr:row>
      <xdr:rowOff>152400</xdr:rowOff>
    </xdr:to>
    <xdr:cxnSp macro="">
      <xdr:nvCxnSpPr>
        <xdr:cNvPr id="3" name="Straight Arrow Connector 2"/>
        <xdr:cNvCxnSpPr>
          <a:stCxn id="2" idx="0"/>
        </xdr:cNvCxnSpPr>
      </xdr:nvCxnSpPr>
      <xdr:spPr>
        <a:xfrm flipH="1" flipV="1">
          <a:off x="4648200" y="8515350"/>
          <a:ext cx="895350" cy="8001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49</xdr:row>
      <xdr:rowOff>152400</xdr:rowOff>
    </xdr:from>
    <xdr:to>
      <xdr:col>5</xdr:col>
      <xdr:colOff>581025</xdr:colOff>
      <xdr:row>54</xdr:row>
      <xdr:rowOff>152400</xdr:rowOff>
    </xdr:to>
    <xdr:cxnSp macro="">
      <xdr:nvCxnSpPr>
        <xdr:cNvPr id="5" name="Straight Arrow Connector 4"/>
        <xdr:cNvCxnSpPr>
          <a:stCxn id="2" idx="0"/>
        </xdr:cNvCxnSpPr>
      </xdr:nvCxnSpPr>
      <xdr:spPr>
        <a:xfrm flipV="1">
          <a:off x="5543550" y="8496300"/>
          <a:ext cx="76200" cy="8191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49</xdr:row>
      <xdr:rowOff>152400</xdr:rowOff>
    </xdr:from>
    <xdr:to>
      <xdr:col>6</xdr:col>
      <xdr:colOff>523875</xdr:colOff>
      <xdr:row>54</xdr:row>
      <xdr:rowOff>152400</xdr:rowOff>
    </xdr:to>
    <xdr:cxnSp macro="">
      <xdr:nvCxnSpPr>
        <xdr:cNvPr id="6" name="Straight Arrow Connector 5"/>
        <xdr:cNvCxnSpPr>
          <a:stCxn id="2" idx="0"/>
        </xdr:cNvCxnSpPr>
      </xdr:nvCxnSpPr>
      <xdr:spPr>
        <a:xfrm flipV="1">
          <a:off x="5543550" y="8496300"/>
          <a:ext cx="1247775" cy="8191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476250</xdr:colOff>
      <xdr:row>55</xdr:row>
      <xdr:rowOff>28575</xdr:rowOff>
    </xdr:from>
    <xdr:to>
      <xdr:col>7</xdr:col>
      <xdr:colOff>819150</xdr:colOff>
      <xdr:row>64</xdr:row>
      <xdr:rowOff>152400</xdr:rowOff>
    </xdr:to>
    <xdr:sp macro="" textlink="">
      <xdr:nvSpPr>
        <xdr:cNvPr id="9" name="TextBox 8"/>
        <xdr:cNvSpPr txBox="1"/>
      </xdr:nvSpPr>
      <xdr:spPr>
        <a:xfrm>
          <a:off x="6743700" y="9353550"/>
          <a:ext cx="1571625" cy="1581150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Based on user input,</a:t>
          </a:r>
          <a:r>
            <a:rPr lang="en-US" sz="1400" b="1" baseline="0"/>
            <a:t> pulls in correct accuracy from the previous three.</a:t>
          </a:r>
        </a:p>
        <a:p>
          <a:endParaRPr lang="en-US" sz="1100"/>
        </a:p>
      </xdr:txBody>
    </xdr:sp>
    <xdr:clientData/>
  </xdr:twoCellAnchor>
  <xdr:twoCellAnchor>
    <xdr:from>
      <xdr:col>7</xdr:col>
      <xdr:colOff>33338</xdr:colOff>
      <xdr:row>49</xdr:row>
      <xdr:rowOff>161926</xdr:rowOff>
    </xdr:from>
    <xdr:to>
      <xdr:col>7</xdr:col>
      <xdr:colOff>647700</xdr:colOff>
      <xdr:row>55</xdr:row>
      <xdr:rowOff>28575</xdr:rowOff>
    </xdr:to>
    <xdr:cxnSp macro="">
      <xdr:nvCxnSpPr>
        <xdr:cNvPr id="10" name="Straight Arrow Connector 9"/>
        <xdr:cNvCxnSpPr>
          <a:stCxn id="9" idx="0"/>
        </xdr:cNvCxnSpPr>
      </xdr:nvCxnSpPr>
      <xdr:spPr>
        <a:xfrm flipV="1">
          <a:off x="7529513" y="8505826"/>
          <a:ext cx="614362" cy="84772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55</xdr:row>
      <xdr:rowOff>95249</xdr:rowOff>
    </xdr:from>
    <xdr:to>
      <xdr:col>8</xdr:col>
      <xdr:colOff>1123950</xdr:colOff>
      <xdr:row>69</xdr:row>
      <xdr:rowOff>47624</xdr:rowOff>
    </xdr:to>
    <xdr:sp macro="" textlink="">
      <xdr:nvSpPr>
        <xdr:cNvPr id="13" name="TextBox 12"/>
        <xdr:cNvSpPr txBox="1"/>
      </xdr:nvSpPr>
      <xdr:spPr>
        <a:xfrm>
          <a:off x="8410575" y="9420224"/>
          <a:ext cx="1438275" cy="2219325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Accuracy for HR/NSR/POLY</a:t>
          </a:r>
          <a:r>
            <a:rPr lang="en-US" sz="1400" b="1" baseline="0"/>
            <a:t> </a:t>
          </a:r>
          <a:r>
            <a:rPr lang="en-US" sz="1400" b="1"/>
            <a:t>for 25mm-400mm. takes into consideration Poly for 25mm and above and HR/NSR for 50mm and above</a:t>
          </a:r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8</xdr:col>
      <xdr:colOff>404813</xdr:colOff>
      <xdr:row>50</xdr:row>
      <xdr:rowOff>28576</xdr:rowOff>
    </xdr:from>
    <xdr:to>
      <xdr:col>8</xdr:col>
      <xdr:colOff>471488</xdr:colOff>
      <xdr:row>55</xdr:row>
      <xdr:rowOff>95249</xdr:rowOff>
    </xdr:to>
    <xdr:cxnSp macro="">
      <xdr:nvCxnSpPr>
        <xdr:cNvPr id="14" name="Straight Arrow Connector 13"/>
        <xdr:cNvCxnSpPr>
          <a:stCxn id="13" idx="0"/>
        </xdr:cNvCxnSpPr>
      </xdr:nvCxnSpPr>
      <xdr:spPr>
        <a:xfrm flipV="1">
          <a:off x="9129713" y="8543926"/>
          <a:ext cx="66675" cy="87629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1171575</xdr:colOff>
      <xdr:row>55</xdr:row>
      <xdr:rowOff>114300</xdr:rowOff>
    </xdr:from>
    <xdr:to>
      <xdr:col>9</xdr:col>
      <xdr:colOff>1285875</xdr:colOff>
      <xdr:row>69</xdr:row>
      <xdr:rowOff>66675</xdr:rowOff>
    </xdr:to>
    <xdr:sp macro="" textlink="">
      <xdr:nvSpPr>
        <xdr:cNvPr id="17" name="TextBox 16"/>
        <xdr:cNvSpPr txBox="1"/>
      </xdr:nvSpPr>
      <xdr:spPr>
        <a:xfrm>
          <a:off x="9896475" y="9439275"/>
          <a:ext cx="1419225" cy="2219325"/>
        </a:xfrm>
        <a:prstGeom prst="rect">
          <a:avLst/>
        </a:prstGeom>
        <a:solidFill>
          <a:srgbClr val="92D05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Final "Standard Accuracy for AXF". based on the user inputs it selects tehaccuracy</a:t>
          </a:r>
          <a:r>
            <a:rPr lang="en-US" sz="1400" b="1" baseline="0"/>
            <a:t> from the previous 2 coloumns</a:t>
          </a:r>
        </a:p>
        <a:p>
          <a:endParaRPr lang="en-US" sz="1400" b="1"/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9</xdr:col>
      <xdr:colOff>576263</xdr:colOff>
      <xdr:row>50</xdr:row>
      <xdr:rowOff>9525</xdr:rowOff>
    </xdr:from>
    <xdr:to>
      <xdr:col>9</xdr:col>
      <xdr:colOff>666750</xdr:colOff>
      <xdr:row>55</xdr:row>
      <xdr:rowOff>114300</xdr:rowOff>
    </xdr:to>
    <xdr:cxnSp macro="">
      <xdr:nvCxnSpPr>
        <xdr:cNvPr id="18" name="Straight Arrow Connector 17"/>
        <xdr:cNvCxnSpPr>
          <a:stCxn id="17" idx="0"/>
        </xdr:cNvCxnSpPr>
      </xdr:nvCxnSpPr>
      <xdr:spPr>
        <a:xfrm flipV="1">
          <a:off x="10606088" y="8524875"/>
          <a:ext cx="90487" cy="9144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1295400</xdr:colOff>
      <xdr:row>55</xdr:row>
      <xdr:rowOff>123825</xdr:rowOff>
    </xdr:from>
    <xdr:to>
      <xdr:col>13</xdr:col>
      <xdr:colOff>142875</xdr:colOff>
      <xdr:row>69</xdr:row>
      <xdr:rowOff>76200</xdr:rowOff>
    </xdr:to>
    <xdr:sp macro="" textlink="">
      <xdr:nvSpPr>
        <xdr:cNvPr id="21" name="TextBox 20"/>
        <xdr:cNvSpPr txBox="1"/>
      </xdr:nvSpPr>
      <xdr:spPr>
        <a:xfrm>
          <a:off x="11325225" y="9448800"/>
          <a:ext cx="1228725" cy="2219325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High accuracy Calculations for 25mm-200mm (regardsless of liner)</a:t>
          </a:r>
        </a:p>
        <a:p>
          <a:endParaRPr lang="en-US" sz="1400" b="1" baseline="0"/>
        </a:p>
        <a:p>
          <a:endParaRPr lang="en-US" sz="1400" b="1"/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10</xdr:col>
      <xdr:colOff>557213</xdr:colOff>
      <xdr:row>49</xdr:row>
      <xdr:rowOff>142876</xdr:rowOff>
    </xdr:from>
    <xdr:to>
      <xdr:col>10</xdr:col>
      <xdr:colOff>561975</xdr:colOff>
      <xdr:row>55</xdr:row>
      <xdr:rowOff>104775</xdr:rowOff>
    </xdr:to>
    <xdr:cxnSp macro="">
      <xdr:nvCxnSpPr>
        <xdr:cNvPr id="22" name="Straight Arrow Connector 21"/>
        <xdr:cNvCxnSpPr/>
      </xdr:nvCxnSpPr>
      <xdr:spPr>
        <a:xfrm flipV="1">
          <a:off x="11891963" y="8486776"/>
          <a:ext cx="4762" cy="94297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180975</xdr:colOff>
      <xdr:row>55</xdr:row>
      <xdr:rowOff>123825</xdr:rowOff>
    </xdr:from>
    <xdr:to>
      <xdr:col>14</xdr:col>
      <xdr:colOff>556260</xdr:colOff>
      <xdr:row>69</xdr:row>
      <xdr:rowOff>76200</xdr:rowOff>
    </xdr:to>
    <xdr:sp macro="" textlink="">
      <xdr:nvSpPr>
        <xdr:cNvPr id="24" name="TextBox 23"/>
        <xdr:cNvSpPr txBox="1"/>
      </xdr:nvSpPr>
      <xdr:spPr>
        <a:xfrm>
          <a:off x="15344775" y="9740265"/>
          <a:ext cx="1579245" cy="2299335"/>
        </a:xfrm>
        <a:prstGeom prst="rect">
          <a:avLst/>
        </a:prstGeom>
        <a:solidFill>
          <a:srgbClr val="92D05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Final High</a:t>
          </a:r>
          <a:r>
            <a:rPr lang="en-US" sz="1400" b="1" baseline="0"/>
            <a:t> Accuracy value, taking into consideration size and liner</a:t>
          </a:r>
          <a:endParaRPr lang="en-US" sz="1400" b="1"/>
        </a:p>
        <a:p>
          <a:endParaRPr lang="en-US" sz="1400" b="1" baseline="0"/>
        </a:p>
        <a:p>
          <a:endParaRPr lang="en-US" sz="1400" b="1"/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11</xdr:col>
      <xdr:colOff>571500</xdr:colOff>
      <xdr:row>50</xdr:row>
      <xdr:rowOff>7620</xdr:rowOff>
    </xdr:from>
    <xdr:to>
      <xdr:col>11</xdr:col>
      <xdr:colOff>576262</xdr:colOff>
      <xdr:row>55</xdr:row>
      <xdr:rowOff>140969</xdr:rowOff>
    </xdr:to>
    <xdr:cxnSp macro="">
      <xdr:nvCxnSpPr>
        <xdr:cNvPr id="25" name="Straight Arrow Connector 24"/>
        <xdr:cNvCxnSpPr/>
      </xdr:nvCxnSpPr>
      <xdr:spPr>
        <a:xfrm flipV="1">
          <a:off x="13327380" y="8785860"/>
          <a:ext cx="4762" cy="97154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571500</xdr:colOff>
      <xdr:row>50</xdr:row>
      <xdr:rowOff>7620</xdr:rowOff>
    </xdr:from>
    <xdr:to>
      <xdr:col>12</xdr:col>
      <xdr:colOff>576262</xdr:colOff>
      <xdr:row>55</xdr:row>
      <xdr:rowOff>140969</xdr:rowOff>
    </xdr:to>
    <xdr:cxnSp macro="">
      <xdr:nvCxnSpPr>
        <xdr:cNvPr id="26" name="Straight Arrow Connector 25"/>
        <xdr:cNvCxnSpPr/>
      </xdr:nvCxnSpPr>
      <xdr:spPr>
        <a:xfrm flipV="1">
          <a:off x="14531340" y="8785860"/>
          <a:ext cx="4762" cy="97154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614362</xdr:colOff>
      <xdr:row>49</xdr:row>
      <xdr:rowOff>152401</xdr:rowOff>
    </xdr:from>
    <xdr:to>
      <xdr:col>13</xdr:col>
      <xdr:colOff>970598</xdr:colOff>
      <xdr:row>55</xdr:row>
      <xdr:rowOff>123825</xdr:rowOff>
    </xdr:to>
    <xdr:cxnSp macro="">
      <xdr:nvCxnSpPr>
        <xdr:cNvPr id="27" name="Straight Arrow Connector 26"/>
        <xdr:cNvCxnSpPr>
          <a:stCxn id="24" idx="0"/>
        </xdr:cNvCxnSpPr>
      </xdr:nvCxnSpPr>
      <xdr:spPr>
        <a:xfrm flipH="1" flipV="1">
          <a:off x="15778162" y="8755381"/>
          <a:ext cx="356236" cy="98488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29</xdr:col>
      <xdr:colOff>653415</xdr:colOff>
      <xdr:row>68</xdr:row>
      <xdr:rowOff>97155</xdr:rowOff>
    </xdr:from>
    <xdr:to>
      <xdr:col>33</xdr:col>
      <xdr:colOff>1123950</xdr:colOff>
      <xdr:row>77</xdr:row>
      <xdr:rowOff>140970</xdr:rowOff>
    </xdr:to>
    <xdr:pic>
      <xdr:nvPicPr>
        <xdr:cNvPr id="1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39155" y="11892915"/>
          <a:ext cx="6528435" cy="1552575"/>
        </a:xfrm>
        <a:prstGeom prst="rect">
          <a:avLst/>
        </a:prstGeom>
      </xdr:spPr>
    </xdr:pic>
    <xdr:clientData/>
  </xdr:twoCellAnchor>
  <xdr:twoCellAnchor editAs="oneCell">
    <xdr:from>
      <xdr:col>32</xdr:col>
      <xdr:colOff>1295400</xdr:colOff>
      <xdr:row>56</xdr:row>
      <xdr:rowOff>19051</xdr:rowOff>
    </xdr:from>
    <xdr:to>
      <xdr:col>34</xdr:col>
      <xdr:colOff>1343025</xdr:colOff>
      <xdr:row>66</xdr:row>
      <xdr:rowOff>144781</xdr:rowOff>
    </xdr:to>
    <xdr:pic>
      <xdr:nvPicPr>
        <xdr:cNvPr id="20" name="Picture 19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212175" y="9505951"/>
          <a:ext cx="2905125" cy="1752600"/>
        </a:xfrm>
        <a:prstGeom prst="rect">
          <a:avLst/>
        </a:prstGeom>
      </xdr:spPr>
    </xdr:pic>
    <xdr:clientData/>
  </xdr:twoCellAnchor>
  <xdr:twoCellAnchor editAs="oneCell">
    <xdr:from>
      <xdr:col>34</xdr:col>
      <xdr:colOff>1424940</xdr:colOff>
      <xdr:row>65</xdr:row>
      <xdr:rowOff>38100</xdr:rowOff>
    </xdr:from>
    <xdr:to>
      <xdr:col>37</xdr:col>
      <xdr:colOff>782955</xdr:colOff>
      <xdr:row>72</xdr:row>
      <xdr:rowOff>76200</xdr:rowOff>
    </xdr:to>
    <xdr:pic>
      <xdr:nvPicPr>
        <xdr:cNvPr id="23" name="Picture 22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639240" y="11330940"/>
          <a:ext cx="3769995" cy="1211580"/>
        </a:xfrm>
        <a:prstGeom prst="rect">
          <a:avLst/>
        </a:prstGeom>
      </xdr:spPr>
    </xdr:pic>
    <xdr:clientData/>
  </xdr:twoCellAnchor>
  <xdr:twoCellAnchor>
    <xdr:from>
      <xdr:col>31</xdr:col>
      <xdr:colOff>758190</xdr:colOff>
      <xdr:row>51</xdr:row>
      <xdr:rowOff>9525</xdr:rowOff>
    </xdr:from>
    <xdr:to>
      <xdr:col>31</xdr:col>
      <xdr:colOff>1201103</xdr:colOff>
      <xdr:row>68</xdr:row>
      <xdr:rowOff>142875</xdr:rowOff>
    </xdr:to>
    <xdr:cxnSp macro="">
      <xdr:nvCxnSpPr>
        <xdr:cNvPr id="7" name="Straight Arrow Connector 6"/>
        <xdr:cNvCxnSpPr/>
      </xdr:nvCxnSpPr>
      <xdr:spPr>
        <a:xfrm flipH="1" flipV="1">
          <a:off x="34560510" y="8955405"/>
          <a:ext cx="442913" cy="298323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1239203</xdr:colOff>
      <xdr:row>50</xdr:row>
      <xdr:rowOff>70486</xdr:rowOff>
    </xdr:from>
    <xdr:to>
      <xdr:col>32</xdr:col>
      <xdr:colOff>615316</xdr:colOff>
      <xdr:row>68</xdr:row>
      <xdr:rowOff>165735</xdr:rowOff>
    </xdr:to>
    <xdr:cxnSp macro="">
      <xdr:nvCxnSpPr>
        <xdr:cNvPr id="28" name="Straight Arrow Connector 27"/>
        <xdr:cNvCxnSpPr/>
      </xdr:nvCxnSpPr>
      <xdr:spPr>
        <a:xfrm flipV="1">
          <a:off x="35041523" y="8848726"/>
          <a:ext cx="846773" cy="311276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616269</xdr:colOff>
      <xdr:row>49</xdr:row>
      <xdr:rowOff>161927</xdr:rowOff>
    </xdr:from>
    <xdr:to>
      <xdr:col>36</xdr:col>
      <xdr:colOff>368618</xdr:colOff>
      <xdr:row>65</xdr:row>
      <xdr:rowOff>38100</xdr:rowOff>
    </xdr:to>
    <xdr:cxnSp macro="">
      <xdr:nvCxnSpPr>
        <xdr:cNvPr id="29" name="Straight Arrow Connector 28"/>
        <xdr:cNvCxnSpPr>
          <a:stCxn id="23" idx="0"/>
        </xdr:cNvCxnSpPr>
      </xdr:nvCxnSpPr>
      <xdr:spPr>
        <a:xfrm flipH="1" flipV="1">
          <a:off x="40301229" y="8764907"/>
          <a:ext cx="1223009" cy="256603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368618</xdr:colOff>
      <xdr:row>50</xdr:row>
      <xdr:rowOff>28576</xdr:rowOff>
    </xdr:from>
    <xdr:to>
      <xdr:col>36</xdr:col>
      <xdr:colOff>611505</xdr:colOff>
      <xdr:row>65</xdr:row>
      <xdr:rowOff>38100</xdr:rowOff>
    </xdr:to>
    <xdr:cxnSp macro="">
      <xdr:nvCxnSpPr>
        <xdr:cNvPr id="30" name="Straight Arrow Connector 29"/>
        <xdr:cNvCxnSpPr>
          <a:stCxn id="23" idx="0"/>
        </xdr:cNvCxnSpPr>
      </xdr:nvCxnSpPr>
      <xdr:spPr>
        <a:xfrm flipV="1">
          <a:off x="41524238" y="8806816"/>
          <a:ext cx="242887" cy="252412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704851</xdr:colOff>
      <xdr:row>50</xdr:row>
      <xdr:rowOff>142875</xdr:rowOff>
    </xdr:from>
    <xdr:to>
      <xdr:col>33</xdr:col>
      <xdr:colOff>1319213</xdr:colOff>
      <xdr:row>56</xdr:row>
      <xdr:rowOff>19051</xdr:rowOff>
    </xdr:to>
    <xdr:cxnSp macro="">
      <xdr:nvCxnSpPr>
        <xdr:cNvPr id="31" name="Straight Arrow Connector 30"/>
        <xdr:cNvCxnSpPr>
          <a:stCxn id="20" idx="0"/>
        </xdr:cNvCxnSpPr>
      </xdr:nvCxnSpPr>
      <xdr:spPr>
        <a:xfrm flipH="1" flipV="1">
          <a:off x="22050376" y="8658225"/>
          <a:ext cx="614362" cy="84772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1319213</xdr:colOff>
      <xdr:row>51</xdr:row>
      <xdr:rowOff>9525</xdr:rowOff>
    </xdr:from>
    <xdr:to>
      <xdr:col>34</xdr:col>
      <xdr:colOff>590550</xdr:colOff>
      <xdr:row>56</xdr:row>
      <xdr:rowOff>19051</xdr:rowOff>
    </xdr:to>
    <xdr:cxnSp macro="">
      <xdr:nvCxnSpPr>
        <xdr:cNvPr id="33" name="Straight Arrow Connector 32"/>
        <xdr:cNvCxnSpPr>
          <a:stCxn id="20" idx="0"/>
        </xdr:cNvCxnSpPr>
      </xdr:nvCxnSpPr>
      <xdr:spPr>
        <a:xfrm flipV="1">
          <a:off x="22664738" y="8686800"/>
          <a:ext cx="700087" cy="81915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733425</xdr:colOff>
      <xdr:row>50</xdr:row>
      <xdr:rowOff>28577</xdr:rowOff>
    </xdr:from>
    <xdr:to>
      <xdr:col>42</xdr:col>
      <xdr:colOff>561975</xdr:colOff>
      <xdr:row>59</xdr:row>
      <xdr:rowOff>123825</xdr:rowOff>
    </xdr:to>
    <xdr:cxnSp macro="">
      <xdr:nvCxnSpPr>
        <xdr:cNvPr id="34" name="Straight Arrow Connector 33"/>
        <xdr:cNvCxnSpPr/>
      </xdr:nvCxnSpPr>
      <xdr:spPr>
        <a:xfrm flipH="1" flipV="1">
          <a:off x="27793950" y="8543927"/>
          <a:ext cx="1257300" cy="155257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95250</xdr:colOff>
      <xdr:row>55</xdr:row>
      <xdr:rowOff>142875</xdr:rowOff>
    </xdr:from>
    <xdr:to>
      <xdr:col>49</xdr:col>
      <xdr:colOff>371475</xdr:colOff>
      <xdr:row>86</xdr:row>
      <xdr:rowOff>47625</xdr:rowOff>
    </xdr:to>
    <xdr:pic>
      <xdr:nvPicPr>
        <xdr:cNvPr id="35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84525" y="9467850"/>
          <a:ext cx="4543425" cy="492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742950</xdr:colOff>
      <xdr:row>54</xdr:row>
      <xdr:rowOff>152400</xdr:rowOff>
    </xdr:from>
    <xdr:to>
      <xdr:col>16</xdr:col>
      <xdr:colOff>266700</xdr:colOff>
      <xdr:row>64</xdr:row>
      <xdr:rowOff>114300</xdr:rowOff>
    </xdr:to>
    <xdr:sp macro="" textlink="">
      <xdr:nvSpPr>
        <xdr:cNvPr id="36" name="TextBox 35"/>
        <xdr:cNvSpPr txBox="1"/>
      </xdr:nvSpPr>
      <xdr:spPr>
        <a:xfrm>
          <a:off x="4652010" y="9601200"/>
          <a:ext cx="2053590" cy="16383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AXG Accuracy for PFA and Ceramic depending on the size of the Unit and liner. 15mm</a:t>
          </a:r>
          <a:r>
            <a:rPr lang="en-US" sz="1400" b="1" baseline="0"/>
            <a:t> PFA/Ceramic, 25-200mm ceramic, 25-400mm PFA</a:t>
          </a:r>
        </a:p>
        <a:p>
          <a:endParaRPr lang="en-US" sz="1100"/>
        </a:p>
      </xdr:txBody>
    </xdr:sp>
    <xdr:clientData/>
  </xdr:twoCellAnchor>
  <xdr:twoCellAnchor>
    <xdr:from>
      <xdr:col>14</xdr:col>
      <xdr:colOff>838200</xdr:colOff>
      <xdr:row>50</xdr:row>
      <xdr:rowOff>0</xdr:rowOff>
    </xdr:from>
    <xdr:to>
      <xdr:col>15</xdr:col>
      <xdr:colOff>504825</xdr:colOff>
      <xdr:row>54</xdr:row>
      <xdr:rowOff>152400</xdr:rowOff>
    </xdr:to>
    <xdr:cxnSp macro="">
      <xdr:nvCxnSpPr>
        <xdr:cNvPr id="37" name="Straight Arrow Connector 36"/>
        <xdr:cNvCxnSpPr>
          <a:stCxn id="36" idx="0"/>
        </xdr:cNvCxnSpPr>
      </xdr:nvCxnSpPr>
      <xdr:spPr>
        <a:xfrm flipH="1" flipV="1">
          <a:off x="4747260" y="8778240"/>
          <a:ext cx="931545" cy="82296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504825</xdr:colOff>
      <xdr:row>49</xdr:row>
      <xdr:rowOff>152400</xdr:rowOff>
    </xdr:from>
    <xdr:to>
      <xdr:col>15</xdr:col>
      <xdr:colOff>581025</xdr:colOff>
      <xdr:row>54</xdr:row>
      <xdr:rowOff>152400</xdr:rowOff>
    </xdr:to>
    <xdr:cxnSp macro="">
      <xdr:nvCxnSpPr>
        <xdr:cNvPr id="38" name="Straight Arrow Connector 37"/>
        <xdr:cNvCxnSpPr>
          <a:stCxn id="36" idx="0"/>
        </xdr:cNvCxnSpPr>
      </xdr:nvCxnSpPr>
      <xdr:spPr>
        <a:xfrm flipV="1">
          <a:off x="5678805" y="8755380"/>
          <a:ext cx="76200" cy="84582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504825</xdr:colOff>
      <xdr:row>49</xdr:row>
      <xdr:rowOff>152400</xdr:rowOff>
    </xdr:from>
    <xdr:to>
      <xdr:col>16</xdr:col>
      <xdr:colOff>523875</xdr:colOff>
      <xdr:row>54</xdr:row>
      <xdr:rowOff>152400</xdr:rowOff>
    </xdr:to>
    <xdr:cxnSp macro="">
      <xdr:nvCxnSpPr>
        <xdr:cNvPr id="39" name="Straight Arrow Connector 38"/>
        <xdr:cNvCxnSpPr>
          <a:stCxn id="36" idx="0"/>
        </xdr:cNvCxnSpPr>
      </xdr:nvCxnSpPr>
      <xdr:spPr>
        <a:xfrm flipV="1">
          <a:off x="5678805" y="8755380"/>
          <a:ext cx="1283970" cy="84582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476250</xdr:colOff>
      <xdr:row>55</xdr:row>
      <xdr:rowOff>28575</xdr:rowOff>
    </xdr:from>
    <xdr:to>
      <xdr:col>17</xdr:col>
      <xdr:colOff>819150</xdr:colOff>
      <xdr:row>64</xdr:row>
      <xdr:rowOff>152400</xdr:rowOff>
    </xdr:to>
    <xdr:sp macro="" textlink="">
      <xdr:nvSpPr>
        <xdr:cNvPr id="40" name="TextBox 39"/>
        <xdr:cNvSpPr txBox="1"/>
      </xdr:nvSpPr>
      <xdr:spPr>
        <a:xfrm>
          <a:off x="6915150" y="9645015"/>
          <a:ext cx="1607820" cy="1632585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Based on user input,</a:t>
          </a:r>
          <a:r>
            <a:rPr lang="en-US" sz="1400" b="1" baseline="0"/>
            <a:t> pulls in correct accuracy from the previous three.</a:t>
          </a:r>
        </a:p>
        <a:p>
          <a:endParaRPr lang="en-US" sz="1100"/>
        </a:p>
      </xdr:txBody>
    </xdr:sp>
    <xdr:clientData/>
  </xdr:twoCellAnchor>
  <xdr:twoCellAnchor>
    <xdr:from>
      <xdr:col>17</xdr:col>
      <xdr:colOff>33338</xdr:colOff>
      <xdr:row>49</xdr:row>
      <xdr:rowOff>161926</xdr:rowOff>
    </xdr:from>
    <xdr:to>
      <xdr:col>17</xdr:col>
      <xdr:colOff>647700</xdr:colOff>
      <xdr:row>55</xdr:row>
      <xdr:rowOff>28575</xdr:rowOff>
    </xdr:to>
    <xdr:cxnSp macro="">
      <xdr:nvCxnSpPr>
        <xdr:cNvPr id="41" name="Straight Arrow Connector 40"/>
        <xdr:cNvCxnSpPr>
          <a:stCxn id="40" idx="0"/>
        </xdr:cNvCxnSpPr>
      </xdr:nvCxnSpPr>
      <xdr:spPr>
        <a:xfrm flipV="1">
          <a:off x="7737158" y="8764906"/>
          <a:ext cx="614362" cy="88010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914400</xdr:colOff>
      <xdr:row>55</xdr:row>
      <xdr:rowOff>95249</xdr:rowOff>
    </xdr:from>
    <xdr:to>
      <xdr:col>22</xdr:col>
      <xdr:colOff>1123950</xdr:colOff>
      <xdr:row>70</xdr:row>
      <xdr:rowOff>91440</xdr:rowOff>
    </xdr:to>
    <xdr:sp macro="" textlink="">
      <xdr:nvSpPr>
        <xdr:cNvPr id="42" name="TextBox 41"/>
        <xdr:cNvSpPr txBox="1"/>
      </xdr:nvSpPr>
      <xdr:spPr>
        <a:xfrm>
          <a:off x="21038820" y="9711689"/>
          <a:ext cx="1413510" cy="2510791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Accuracy for PTFE/HR/NSR/POLY</a:t>
          </a:r>
          <a:r>
            <a:rPr lang="en-US" sz="1400" b="1" baseline="0"/>
            <a:t> </a:t>
          </a:r>
          <a:r>
            <a:rPr lang="en-US" sz="1400" b="1"/>
            <a:t>for 25mm-400mm. takes into consideration Poly for 25mm and above and HR/NSR for 50mm and above</a:t>
          </a:r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22</xdr:col>
      <xdr:colOff>417195</xdr:colOff>
      <xdr:row>50</xdr:row>
      <xdr:rowOff>28577</xdr:rowOff>
    </xdr:from>
    <xdr:to>
      <xdr:col>22</xdr:col>
      <xdr:colOff>471488</xdr:colOff>
      <xdr:row>55</xdr:row>
      <xdr:rowOff>95249</xdr:rowOff>
    </xdr:to>
    <xdr:cxnSp macro="">
      <xdr:nvCxnSpPr>
        <xdr:cNvPr id="43" name="Straight Arrow Connector 42"/>
        <xdr:cNvCxnSpPr>
          <a:stCxn id="42" idx="0"/>
        </xdr:cNvCxnSpPr>
      </xdr:nvCxnSpPr>
      <xdr:spPr>
        <a:xfrm flipV="1">
          <a:off x="21745575" y="8806817"/>
          <a:ext cx="54293" cy="90487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1171575</xdr:colOff>
      <xdr:row>55</xdr:row>
      <xdr:rowOff>114300</xdr:rowOff>
    </xdr:from>
    <xdr:to>
      <xdr:col>23</xdr:col>
      <xdr:colOff>1285875</xdr:colOff>
      <xdr:row>69</xdr:row>
      <xdr:rowOff>66675</xdr:rowOff>
    </xdr:to>
    <xdr:sp macro="" textlink="">
      <xdr:nvSpPr>
        <xdr:cNvPr id="44" name="TextBox 43"/>
        <xdr:cNvSpPr txBox="1"/>
      </xdr:nvSpPr>
      <xdr:spPr>
        <a:xfrm>
          <a:off x="10140315" y="9730740"/>
          <a:ext cx="1455420" cy="2299335"/>
        </a:xfrm>
        <a:prstGeom prst="rect">
          <a:avLst/>
        </a:prstGeom>
        <a:solidFill>
          <a:srgbClr val="92D05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Final "Standard Accuracy for AXW". </a:t>
          </a:r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23</xdr:col>
      <xdr:colOff>576263</xdr:colOff>
      <xdr:row>50</xdr:row>
      <xdr:rowOff>9525</xdr:rowOff>
    </xdr:from>
    <xdr:to>
      <xdr:col>23</xdr:col>
      <xdr:colOff>666750</xdr:colOff>
      <xdr:row>55</xdr:row>
      <xdr:rowOff>114300</xdr:rowOff>
    </xdr:to>
    <xdr:cxnSp macro="">
      <xdr:nvCxnSpPr>
        <xdr:cNvPr id="45" name="Straight Arrow Connector 44"/>
        <xdr:cNvCxnSpPr>
          <a:stCxn id="44" idx="0"/>
        </xdr:cNvCxnSpPr>
      </xdr:nvCxnSpPr>
      <xdr:spPr>
        <a:xfrm flipV="1">
          <a:off x="10886123" y="8787765"/>
          <a:ext cx="90487" cy="9429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55</xdr:row>
      <xdr:rowOff>123825</xdr:rowOff>
    </xdr:from>
    <xdr:to>
      <xdr:col>21</xdr:col>
      <xdr:colOff>142875</xdr:colOff>
      <xdr:row>69</xdr:row>
      <xdr:rowOff>76200</xdr:rowOff>
    </xdr:to>
    <xdr:sp macro="" textlink="">
      <xdr:nvSpPr>
        <xdr:cNvPr id="46" name="TextBox 45"/>
        <xdr:cNvSpPr txBox="1"/>
      </xdr:nvSpPr>
      <xdr:spPr>
        <a:xfrm>
          <a:off x="11605260" y="9740265"/>
          <a:ext cx="1293495" cy="2299335"/>
        </a:xfrm>
        <a:prstGeom prst="rect">
          <a:avLst/>
        </a:prstGeom>
        <a:solidFill>
          <a:srgbClr val="FFC0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High accuracy Calculations for AXG for 25mm-200mm (regardsless of liner)</a:t>
          </a:r>
        </a:p>
        <a:p>
          <a:endParaRPr lang="en-US" sz="1400" b="1" baseline="0"/>
        </a:p>
        <a:p>
          <a:endParaRPr lang="en-US" sz="1400" b="1"/>
        </a:p>
        <a:p>
          <a:endParaRPr lang="en-US" sz="1400" b="1" baseline="0"/>
        </a:p>
        <a:p>
          <a:endParaRPr lang="en-US" sz="1100"/>
        </a:p>
      </xdr:txBody>
    </xdr:sp>
    <xdr:clientData/>
  </xdr:twoCellAnchor>
  <xdr:twoCellAnchor>
    <xdr:from>
      <xdr:col>18</xdr:col>
      <xdr:colOff>557213</xdr:colOff>
      <xdr:row>49</xdr:row>
      <xdr:rowOff>142876</xdr:rowOff>
    </xdr:from>
    <xdr:to>
      <xdr:col>18</xdr:col>
      <xdr:colOff>561975</xdr:colOff>
      <xdr:row>55</xdr:row>
      <xdr:rowOff>104775</xdr:rowOff>
    </xdr:to>
    <xdr:cxnSp macro="">
      <xdr:nvCxnSpPr>
        <xdr:cNvPr id="47" name="Straight Arrow Connector 46"/>
        <xdr:cNvCxnSpPr/>
      </xdr:nvCxnSpPr>
      <xdr:spPr>
        <a:xfrm flipV="1">
          <a:off x="12208193" y="8745856"/>
          <a:ext cx="4762" cy="97535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52</xdr:row>
      <xdr:rowOff>0</xdr:rowOff>
    </xdr:from>
    <xdr:to>
      <xdr:col>19</xdr:col>
      <xdr:colOff>4762</xdr:colOff>
      <xdr:row>57</xdr:row>
      <xdr:rowOff>133349</xdr:rowOff>
    </xdr:to>
    <xdr:cxnSp macro="">
      <xdr:nvCxnSpPr>
        <xdr:cNvPr id="48" name="Straight Arrow Connector 47"/>
        <xdr:cNvCxnSpPr/>
      </xdr:nvCxnSpPr>
      <xdr:spPr>
        <a:xfrm flipV="1">
          <a:off x="12755880" y="9113520"/>
          <a:ext cx="0" cy="97154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53</xdr:row>
      <xdr:rowOff>0</xdr:rowOff>
    </xdr:from>
    <xdr:to>
      <xdr:col>19</xdr:col>
      <xdr:colOff>4762</xdr:colOff>
      <xdr:row>58</xdr:row>
      <xdr:rowOff>133349</xdr:rowOff>
    </xdr:to>
    <xdr:cxnSp macro="">
      <xdr:nvCxnSpPr>
        <xdr:cNvPr id="49" name="Straight Arrow Connector 48"/>
        <xdr:cNvCxnSpPr/>
      </xdr:nvCxnSpPr>
      <xdr:spPr>
        <a:xfrm flipV="1">
          <a:off x="12755880" y="9281160"/>
          <a:ext cx="0" cy="97154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1" name="List142" displayName="List142" ref="A3:A27" totalsRowShown="0" headerRowDxfId="5" dataDxfId="3" headerRowBorderDxfId="4" tableBorderDxfId="2" totalsRowBorderDxfId="1">
  <tableColumns count="1">
    <tableColumn id="1" name="0.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showGridLines="0" tabSelected="1" showWhiteSpace="0" topLeftCell="B1" zoomScale="80" zoomScaleNormal="80" workbookViewId="0">
      <selection activeCell="F13" sqref="F13"/>
    </sheetView>
  </sheetViews>
  <sheetFormatPr defaultRowHeight="12.75"/>
  <cols>
    <col min="1" max="1" width="2.42578125" customWidth="1"/>
    <col min="2" max="2" width="6.28515625" customWidth="1"/>
    <col min="3" max="3" width="25.28515625" customWidth="1"/>
    <col min="4" max="9" width="16.85546875" customWidth="1"/>
    <col min="10" max="10" width="15.5703125" customWidth="1"/>
    <col min="11" max="11" width="10.85546875" hidden="1" customWidth="1"/>
    <col min="15" max="15" width="22.42578125" hidden="1" customWidth="1"/>
    <col min="16" max="16" width="0" hidden="1" customWidth="1"/>
  </cols>
  <sheetData>
    <row r="1" spans="1:11" ht="76.5" customHeight="1"/>
    <row r="2" spans="1:11" ht="24" hidden="1" customHeight="1"/>
    <row r="3" spans="1:11" ht="22.5" customHeight="1">
      <c r="B3" s="171" t="s">
        <v>29</v>
      </c>
      <c r="C3" s="171"/>
      <c r="D3" s="171"/>
      <c r="E3" s="171"/>
      <c r="F3" s="171"/>
      <c r="G3" s="171"/>
      <c r="H3" s="171"/>
      <c r="I3" s="171"/>
      <c r="J3" s="171"/>
      <c r="K3" s="171"/>
    </row>
    <row r="4" spans="1:11" s="5" customFormat="1" ht="12.75" customHeight="1" thickBot="1">
      <c r="A4" s="4"/>
      <c r="C4" s="16"/>
    </row>
    <row r="5" spans="1:11" s="5" customFormat="1" ht="21.6" customHeight="1">
      <c r="C5" s="122" t="s">
        <v>34</v>
      </c>
      <c r="D5" s="123">
        <v>2</v>
      </c>
      <c r="E5" s="124" t="s">
        <v>30</v>
      </c>
      <c r="F5" s="5" t="s">
        <v>35</v>
      </c>
    </row>
    <row r="6" spans="1:11" s="5" customFormat="1" ht="21.6" customHeight="1">
      <c r="C6" s="125" t="s">
        <v>75</v>
      </c>
      <c r="D6" s="126">
        <v>25</v>
      </c>
      <c r="E6" s="127" t="s">
        <v>6</v>
      </c>
      <c r="F6" s="20" t="s">
        <v>36</v>
      </c>
      <c r="G6"/>
      <c r="H6"/>
      <c r="I6"/>
      <c r="J6" s="20"/>
    </row>
    <row r="7" spans="1:11" s="5" customFormat="1" ht="21.6" hidden="1" customHeight="1" thickBot="1">
      <c r="C7" s="128" t="s">
        <v>50</v>
      </c>
      <c r="D7" s="176" t="s">
        <v>23</v>
      </c>
      <c r="E7" s="177"/>
      <c r="F7" s="20"/>
      <c r="G7"/>
      <c r="H7"/>
      <c r="I7"/>
      <c r="J7" s="20"/>
    </row>
    <row r="8" spans="1:11" s="5" customFormat="1" ht="21.6" customHeight="1" thickBot="1">
      <c r="C8" s="4"/>
      <c r="G8"/>
      <c r="H8"/>
      <c r="I8"/>
    </row>
    <row r="9" spans="1:11" s="5" customFormat="1" ht="21.6" customHeight="1" thickBot="1">
      <c r="C9" s="129" t="s">
        <v>1</v>
      </c>
      <c r="D9" s="130">
        <f>D6/'Area Calc for Velocity value'!P4</f>
        <v>3.5367682426505946</v>
      </c>
      <c r="E9" s="131" t="s">
        <v>2</v>
      </c>
      <c r="F9" s="6" t="str">
        <f>IF(ISERROR(#REF!),"",IF(D9&lt;0.3,"Suggest  either  Decrease  Bore-Size  or  Increase  the  Flow  Span",IF(D9&gt;10,"Error  Troubleshooting  :Velocity too high  -  either  Increase  Bore-Size  or  Decrease  the  Flow  Span","  ")))</f>
        <v/>
      </c>
      <c r="G9"/>
      <c r="H9"/>
      <c r="I9"/>
      <c r="J9" s="6"/>
    </row>
    <row r="10" spans="1:11" s="5" customFormat="1" ht="21.6" customHeight="1" thickBot="1">
      <c r="C10" s="132"/>
      <c r="D10" s="133">
        <f>D9*3.2808</f>
        <v>11.603429250488071</v>
      </c>
      <c r="E10" s="134" t="s">
        <v>25</v>
      </c>
      <c r="F10" s="19" t="str">
        <f>IF(D9&lt;0.3,"Suggest  either  Decrease  Bore-Size  or  Increase  the  Flow  Span",IF(D9&gt;10,"Error  Troubleshooting  :Velocity too high  -  either  Increase  Bore-Size  or  Decrease  the  Flow  Span","  "))</f>
        <v xml:space="preserve">  </v>
      </c>
      <c r="G10"/>
      <c r="H10"/>
      <c r="I10"/>
      <c r="J10" s="19"/>
    </row>
    <row r="11" spans="1:11" ht="18.75" customHeight="1" thickBot="1">
      <c r="C11" s="21"/>
      <c r="D11" s="5"/>
      <c r="E11" s="21"/>
      <c r="F11" s="21"/>
      <c r="G11" s="21"/>
      <c r="H11" s="21"/>
      <c r="I11" s="21"/>
      <c r="J11" s="21"/>
      <c r="K11" s="21"/>
    </row>
    <row r="12" spans="1:11" ht="20.100000000000001" customHeight="1" thickBot="1">
      <c r="C12" s="172" t="s">
        <v>11</v>
      </c>
      <c r="D12" s="173"/>
      <c r="E12" s="172"/>
      <c r="F12" s="178"/>
      <c r="G12" s="178"/>
      <c r="H12" s="178"/>
      <c r="I12" s="178"/>
      <c r="J12" s="173"/>
    </row>
    <row r="13" spans="1:11" s="28" customFormat="1" ht="31.5" customHeight="1" thickBot="1">
      <c r="C13" s="174" t="str">
        <f>E6</f>
        <v>m3/hr</v>
      </c>
      <c r="D13" s="174" t="s">
        <v>12</v>
      </c>
      <c r="E13" s="142" t="s">
        <v>95</v>
      </c>
      <c r="F13" s="143" t="s">
        <v>87</v>
      </c>
      <c r="G13" s="143" t="s">
        <v>79</v>
      </c>
      <c r="H13" s="144" t="s">
        <v>79</v>
      </c>
      <c r="I13" s="143" t="s">
        <v>79</v>
      </c>
      <c r="J13" s="142" t="s">
        <v>79</v>
      </c>
    </row>
    <row r="14" spans="1:11" ht="20.100000000000001" customHeight="1" thickBot="1">
      <c r="C14" s="175"/>
      <c r="D14" s="175"/>
      <c r="E14" s="146" t="s">
        <v>13</v>
      </c>
      <c r="F14" s="147" t="s">
        <v>13</v>
      </c>
      <c r="G14" s="147" t="s">
        <v>13</v>
      </c>
      <c r="H14" s="148" t="s">
        <v>13</v>
      </c>
      <c r="I14" s="147" t="s">
        <v>13</v>
      </c>
      <c r="J14" s="149" t="s">
        <v>13</v>
      </c>
    </row>
    <row r="15" spans="1:11" ht="21" customHeight="1">
      <c r="C15" s="135">
        <f>D6</f>
        <v>25</v>
      </c>
      <c r="D15" s="136">
        <v>100</v>
      </c>
      <c r="E15" s="137">
        <f>INDEX('AXF Calculator'!$AA$5:$AP$50,MATCH('Accuracy Statement'!$D15,'AXF Calculator'!$Z$5:$Z$50,0),MATCH('Accuracy Statement'!E$13,'AXF Calculator'!$AA$3:$AP$3,0))</f>
        <v>0.35</v>
      </c>
      <c r="F15" s="137">
        <f>INDEX('AXF Calculator'!$AA$5:$AP$50,MATCH('Accuracy Statement'!$D15,'AXF Calculator'!$Z$5:$Z$50,0),MATCH('Accuracy Statement'!F$13,'AXF Calculator'!$AA$3:$AP$3,0))</f>
        <v>0.3</v>
      </c>
      <c r="G15" s="137" t="e">
        <f>INDEX('AXF Calculator'!$AA$5:$AP$50,MATCH('Accuracy Statement'!$D15,'AXF Calculator'!$Z$5:$Z$50,0),MATCH('Accuracy Statement'!G$13,'AXF Calculator'!$AA$3:$AP$3,0))</f>
        <v>#N/A</v>
      </c>
      <c r="H15" s="137" t="e">
        <f>INDEX('AXF Calculator'!$AA$5:$AP$50,MATCH('Accuracy Statement'!$D15,'AXF Calculator'!$Z$5:$Z$50,0),MATCH('Accuracy Statement'!H$13,'AXF Calculator'!$AA$3:$AP$3,0))</f>
        <v>#N/A</v>
      </c>
      <c r="I15" s="137" t="e">
        <f>INDEX('AXF Calculator'!$AA$5:$AP$50,MATCH('Accuracy Statement'!$D15,'AXF Calculator'!$Z$5:$Z$50,0),MATCH('Accuracy Statement'!I$13,'AXF Calculator'!$AA$3:$AP$3,0))</f>
        <v>#N/A</v>
      </c>
      <c r="J15" s="137" t="e">
        <f>INDEX('AXF Calculator'!$AA$5:$AP$50,MATCH('Accuracy Statement'!$D15,'AXF Calculator'!$Z$5:$Z$50,0),MATCH('Accuracy Statement'!J$13,'AXF Calculator'!$AA$3:$AP$3,0))</f>
        <v>#N/A</v>
      </c>
    </row>
    <row r="16" spans="1:11" ht="21" customHeight="1">
      <c r="C16" s="138">
        <f t="shared" ref="C16:C25" si="0">D16/100*$C$15</f>
        <v>22.5</v>
      </c>
      <c r="D16" s="139">
        <v>90</v>
      </c>
      <c r="E16" s="150">
        <f>INDEX('AXF Calculator'!$AA$5:$AP$50,MATCH('Accuracy Statement'!$D16,'AXF Calculator'!$Z$5:$Z$50,0),MATCH('Accuracy Statement'!E$13,'AXF Calculator'!$AA$3:$AP$3,0))</f>
        <v>0.35</v>
      </c>
      <c r="F16" s="150">
        <f>INDEX('AXF Calculator'!$AA$5:$AP$50,MATCH('Accuracy Statement'!$D16,'AXF Calculator'!$Z$5:$Z$50,0),MATCH('Accuracy Statement'!F$13,'AXF Calculator'!$AA$3:$AP$3,0))</f>
        <v>0.3</v>
      </c>
      <c r="G16" s="150" t="e">
        <f>INDEX('AXF Calculator'!$AA$5:$AP$50,MATCH('Accuracy Statement'!$D16,'AXF Calculator'!$Z$5:$Z$50,0),MATCH('Accuracy Statement'!G$13,'AXF Calculator'!$AA$3:$AP$3,0))</f>
        <v>#N/A</v>
      </c>
      <c r="H16" s="150" t="e">
        <f>INDEX('AXF Calculator'!$AA$5:$AP$50,MATCH('Accuracy Statement'!$D16,'AXF Calculator'!$Z$5:$Z$50,0),MATCH('Accuracy Statement'!H$13,'AXF Calculator'!$AA$3:$AP$3,0))</f>
        <v>#N/A</v>
      </c>
      <c r="I16" s="150" t="e">
        <f>INDEX('AXF Calculator'!$AA$5:$AP$50,MATCH('Accuracy Statement'!$D16,'AXF Calculator'!$Z$5:$Z$50,0),MATCH('Accuracy Statement'!I$13,'AXF Calculator'!$AA$3:$AP$3,0))</f>
        <v>#N/A</v>
      </c>
      <c r="J16" s="150" t="e">
        <f>INDEX('AXF Calculator'!$AA$5:$AP$50,MATCH('Accuracy Statement'!$D16,'AXF Calculator'!$Z$5:$Z$50,0),MATCH('Accuracy Statement'!J$13,'AXF Calculator'!$AA$3:$AP$3,0))</f>
        <v>#N/A</v>
      </c>
    </row>
    <row r="17" spans="2:10" ht="21" customHeight="1">
      <c r="B17" s="3"/>
      <c r="C17" s="138">
        <f t="shared" si="0"/>
        <v>20</v>
      </c>
      <c r="D17" s="139">
        <v>80</v>
      </c>
      <c r="E17" s="150">
        <f>INDEX('AXF Calculator'!$AA$5:$AP$50,MATCH('Accuracy Statement'!$D17,'AXF Calculator'!$Z$5:$Z$50,0),MATCH('Accuracy Statement'!E$13,'AXF Calculator'!$AA$3:$AP$3,0))</f>
        <v>0.35</v>
      </c>
      <c r="F17" s="150">
        <f>INDEX('AXF Calculator'!$AA$5:$AP$50,MATCH('Accuracy Statement'!$D17,'AXF Calculator'!$Z$5:$Z$50,0),MATCH('Accuracy Statement'!F$13,'AXF Calculator'!$AA$3:$AP$3,0))</f>
        <v>0.3</v>
      </c>
      <c r="G17" s="150" t="e">
        <f>INDEX('AXF Calculator'!$AA$5:$AP$50,MATCH('Accuracy Statement'!$D17,'AXF Calculator'!$Z$5:$Z$50,0),MATCH('Accuracy Statement'!G$13,'AXF Calculator'!$AA$3:$AP$3,0))</f>
        <v>#N/A</v>
      </c>
      <c r="H17" s="150" t="e">
        <f>INDEX('AXF Calculator'!$AA$5:$AP$50,MATCH('Accuracy Statement'!$D17,'AXF Calculator'!$Z$5:$Z$50,0),MATCH('Accuracy Statement'!H$13,'AXF Calculator'!$AA$3:$AP$3,0))</f>
        <v>#N/A</v>
      </c>
      <c r="I17" s="150" t="e">
        <f>INDEX('AXF Calculator'!$AA$5:$AP$50,MATCH('Accuracy Statement'!$D17,'AXF Calculator'!$Z$5:$Z$50,0),MATCH('Accuracy Statement'!I$13,'AXF Calculator'!$AA$3:$AP$3,0))</f>
        <v>#N/A</v>
      </c>
      <c r="J17" s="150" t="e">
        <f>INDEX('AXF Calculator'!$AA$5:$AP$50,MATCH('Accuracy Statement'!$D17,'AXF Calculator'!$Z$5:$Z$50,0),MATCH('Accuracy Statement'!J$13,'AXF Calculator'!$AA$3:$AP$3,0))</f>
        <v>#N/A</v>
      </c>
    </row>
    <row r="18" spans="2:10" ht="21" customHeight="1">
      <c r="C18" s="138">
        <f t="shared" si="0"/>
        <v>17.5</v>
      </c>
      <c r="D18" s="139">
        <v>70</v>
      </c>
      <c r="E18" s="150">
        <f>INDEX('AXF Calculator'!$AA$5:$AP$50,MATCH('Accuracy Statement'!$D18,'AXF Calculator'!$Z$5:$Z$50,0),MATCH('Accuracy Statement'!E$13,'AXF Calculator'!$AA$3:$AP$3,0))</f>
        <v>0.35</v>
      </c>
      <c r="F18" s="150">
        <f>INDEX('AXF Calculator'!$AA$5:$AP$50,MATCH('Accuracy Statement'!$D18,'AXF Calculator'!$Z$5:$Z$50,0),MATCH('Accuracy Statement'!F$13,'AXF Calculator'!$AA$3:$AP$3,0))</f>
        <v>0.3</v>
      </c>
      <c r="G18" s="150" t="e">
        <f>INDEX('AXF Calculator'!$AA$5:$AP$50,MATCH('Accuracy Statement'!$D18,'AXF Calculator'!$Z$5:$Z$50,0),MATCH('Accuracy Statement'!G$13,'AXF Calculator'!$AA$3:$AP$3,0))</f>
        <v>#N/A</v>
      </c>
      <c r="H18" s="150" t="e">
        <f>INDEX('AXF Calculator'!$AA$5:$AP$50,MATCH('Accuracy Statement'!$D18,'AXF Calculator'!$Z$5:$Z$50,0),MATCH('Accuracy Statement'!H$13,'AXF Calculator'!$AA$3:$AP$3,0))</f>
        <v>#N/A</v>
      </c>
      <c r="I18" s="150" t="e">
        <f>INDEX('AXF Calculator'!$AA$5:$AP$50,MATCH('Accuracy Statement'!$D18,'AXF Calculator'!$Z$5:$Z$50,0),MATCH('Accuracy Statement'!I$13,'AXF Calculator'!$AA$3:$AP$3,0))</f>
        <v>#N/A</v>
      </c>
      <c r="J18" s="150" t="e">
        <f>INDEX('AXF Calculator'!$AA$5:$AP$50,MATCH('Accuracy Statement'!$D18,'AXF Calculator'!$Z$5:$Z$50,0),MATCH('Accuracy Statement'!J$13,'AXF Calculator'!$AA$3:$AP$3,0))</f>
        <v>#N/A</v>
      </c>
    </row>
    <row r="19" spans="2:10" ht="21.75" customHeight="1">
      <c r="C19" s="138">
        <f t="shared" si="0"/>
        <v>15</v>
      </c>
      <c r="D19" s="139">
        <v>60</v>
      </c>
      <c r="E19" s="150">
        <f>INDEX('AXF Calculator'!$AA$5:$AP$50,MATCH('Accuracy Statement'!$D19,'AXF Calculator'!$Z$5:$Z$50,0),MATCH('Accuracy Statement'!E$13,'AXF Calculator'!$AA$3:$AP$3,0))</f>
        <v>0.35</v>
      </c>
      <c r="F19" s="150">
        <f>INDEX('AXF Calculator'!$AA$5:$AP$50,MATCH('Accuracy Statement'!$D19,'AXF Calculator'!$Z$5:$Z$50,0),MATCH('Accuracy Statement'!F$13,'AXF Calculator'!$AA$3:$AP$3,0))</f>
        <v>0.3</v>
      </c>
      <c r="G19" s="150" t="e">
        <f>INDEX('AXF Calculator'!$AA$5:$AP$50,MATCH('Accuracy Statement'!$D19,'AXF Calculator'!$Z$5:$Z$50,0),MATCH('Accuracy Statement'!G$13,'AXF Calculator'!$AA$3:$AP$3,0))</f>
        <v>#N/A</v>
      </c>
      <c r="H19" s="150" t="e">
        <f>INDEX('AXF Calculator'!$AA$5:$AP$50,MATCH('Accuracy Statement'!$D19,'AXF Calculator'!$Z$5:$Z$50,0),MATCH('Accuracy Statement'!H$13,'AXF Calculator'!$AA$3:$AP$3,0))</f>
        <v>#N/A</v>
      </c>
      <c r="I19" s="150" t="e">
        <f>INDEX('AXF Calculator'!$AA$5:$AP$50,MATCH('Accuracy Statement'!$D19,'AXF Calculator'!$Z$5:$Z$50,0),MATCH('Accuracy Statement'!I$13,'AXF Calculator'!$AA$3:$AP$3,0))</f>
        <v>#N/A</v>
      </c>
      <c r="J19" s="150" t="e">
        <f>INDEX('AXF Calculator'!$AA$5:$AP$50,MATCH('Accuracy Statement'!$D19,'AXF Calculator'!$Z$5:$Z$50,0),MATCH('Accuracy Statement'!J$13,'AXF Calculator'!$AA$3:$AP$3,0))</f>
        <v>#N/A</v>
      </c>
    </row>
    <row r="20" spans="2:10" ht="21" customHeight="1">
      <c r="C20" s="138">
        <f t="shared" si="0"/>
        <v>12.5</v>
      </c>
      <c r="D20" s="139">
        <v>50</v>
      </c>
      <c r="E20" s="150">
        <f>INDEX('AXF Calculator'!$AA$5:$AP$50,MATCH('Accuracy Statement'!$D20,'AXF Calculator'!$Z$5:$Z$50,0),MATCH('Accuracy Statement'!E$13,'AXF Calculator'!$AA$3:$AP$3,0))</f>
        <v>0.35</v>
      </c>
      <c r="F20" s="150">
        <f>INDEX('AXF Calculator'!$AA$5:$AP$50,MATCH('Accuracy Statement'!$D20,'AXF Calculator'!$Z$5:$Z$50,0),MATCH('Accuracy Statement'!F$13,'AXF Calculator'!$AA$3:$AP$3,0))</f>
        <v>0.3</v>
      </c>
      <c r="G20" s="150" t="e">
        <f>INDEX('AXF Calculator'!$AA$5:$AP$50,MATCH('Accuracy Statement'!$D20,'AXF Calculator'!$Z$5:$Z$50,0),MATCH('Accuracy Statement'!G$13,'AXF Calculator'!$AA$3:$AP$3,0))</f>
        <v>#N/A</v>
      </c>
      <c r="H20" s="150" t="e">
        <f>INDEX('AXF Calculator'!$AA$5:$AP$50,MATCH('Accuracy Statement'!$D20,'AXF Calculator'!$Z$5:$Z$50,0),MATCH('Accuracy Statement'!H$13,'AXF Calculator'!$AA$3:$AP$3,0))</f>
        <v>#N/A</v>
      </c>
      <c r="I20" s="150" t="e">
        <f>INDEX('AXF Calculator'!$AA$5:$AP$50,MATCH('Accuracy Statement'!$D20,'AXF Calculator'!$Z$5:$Z$50,0),MATCH('Accuracy Statement'!I$13,'AXF Calculator'!$AA$3:$AP$3,0))</f>
        <v>#N/A</v>
      </c>
      <c r="J20" s="150" t="e">
        <f>INDEX('AXF Calculator'!$AA$5:$AP$50,MATCH('Accuracy Statement'!$D20,'AXF Calculator'!$Z$5:$Z$50,0),MATCH('Accuracy Statement'!J$13,'AXF Calculator'!$AA$3:$AP$3,0))</f>
        <v>#N/A</v>
      </c>
    </row>
    <row r="21" spans="2:10" ht="21" customHeight="1">
      <c r="C21" s="138">
        <f t="shared" si="0"/>
        <v>10</v>
      </c>
      <c r="D21" s="139">
        <v>40</v>
      </c>
      <c r="E21" s="150">
        <f>INDEX('AXF Calculator'!$AA$5:$AP$50,MATCH('Accuracy Statement'!$D21,'AXF Calculator'!$Z$5:$Z$50,0),MATCH('Accuracy Statement'!E$13,'AXF Calculator'!$AA$3:$AP$3,0))</f>
        <v>0.35</v>
      </c>
      <c r="F21" s="150">
        <f>INDEX('AXF Calculator'!$AA$5:$AP$50,MATCH('Accuracy Statement'!$D21,'AXF Calculator'!$Z$5:$Z$50,0),MATCH('Accuracy Statement'!F$13,'AXF Calculator'!$AA$3:$AP$3,0))</f>
        <v>0.3</v>
      </c>
      <c r="G21" s="150" t="e">
        <f>INDEX('AXF Calculator'!$AA$5:$AP$50,MATCH('Accuracy Statement'!$D21,'AXF Calculator'!$Z$5:$Z$50,0),MATCH('Accuracy Statement'!G$13,'AXF Calculator'!$AA$3:$AP$3,0))</f>
        <v>#N/A</v>
      </c>
      <c r="H21" s="150" t="e">
        <f>INDEX('AXF Calculator'!$AA$5:$AP$50,MATCH('Accuracy Statement'!$D21,'AXF Calculator'!$Z$5:$Z$50,0),MATCH('Accuracy Statement'!H$13,'AXF Calculator'!$AA$3:$AP$3,0))</f>
        <v>#N/A</v>
      </c>
      <c r="I21" s="150" t="e">
        <f>INDEX('AXF Calculator'!$AA$5:$AP$50,MATCH('Accuracy Statement'!$D21,'AXF Calculator'!$Z$5:$Z$50,0),MATCH('Accuracy Statement'!I$13,'AXF Calculator'!$AA$3:$AP$3,0))</f>
        <v>#N/A</v>
      </c>
      <c r="J21" s="150" t="e">
        <f>INDEX('AXF Calculator'!$AA$5:$AP$50,MATCH('Accuracy Statement'!$D21,'AXF Calculator'!$Z$5:$Z$50,0),MATCH('Accuracy Statement'!J$13,'AXF Calculator'!$AA$3:$AP$3,0))</f>
        <v>#N/A</v>
      </c>
    </row>
    <row r="22" spans="2:10" ht="21" customHeight="1">
      <c r="C22" s="138">
        <f t="shared" si="0"/>
        <v>7.5</v>
      </c>
      <c r="D22" s="139">
        <v>30</v>
      </c>
      <c r="E22" s="150">
        <f>INDEX('AXF Calculator'!$AA$5:$AP$50,MATCH('Accuracy Statement'!$D22,'AXF Calculator'!$Z$5:$Z$50,0),MATCH('Accuracy Statement'!E$13,'AXF Calculator'!$AA$3:$AP$3,0))</f>
        <v>0.35</v>
      </c>
      <c r="F22" s="150">
        <f>INDEX('AXF Calculator'!$AA$5:$AP$50,MATCH('Accuracy Statement'!$D22,'AXF Calculator'!$Z$5:$Z$50,0),MATCH('Accuracy Statement'!F$13,'AXF Calculator'!$AA$3:$AP$3,0))</f>
        <v>0.3</v>
      </c>
      <c r="G22" s="150" t="e">
        <f>INDEX('AXF Calculator'!$AA$5:$AP$50,MATCH('Accuracy Statement'!$D22,'AXF Calculator'!$Z$5:$Z$50,0),MATCH('Accuracy Statement'!G$13,'AXF Calculator'!$AA$3:$AP$3,0))</f>
        <v>#N/A</v>
      </c>
      <c r="H22" s="150" t="e">
        <f>INDEX('AXF Calculator'!$AA$5:$AP$50,MATCH('Accuracy Statement'!$D22,'AXF Calculator'!$Z$5:$Z$50,0),MATCH('Accuracy Statement'!H$13,'AXF Calculator'!$AA$3:$AP$3,0))</f>
        <v>#N/A</v>
      </c>
      <c r="I22" s="150" t="e">
        <f>INDEX('AXF Calculator'!$AA$5:$AP$50,MATCH('Accuracy Statement'!$D22,'AXF Calculator'!$Z$5:$Z$50,0),MATCH('Accuracy Statement'!I$13,'AXF Calculator'!$AA$3:$AP$3,0))</f>
        <v>#N/A</v>
      </c>
      <c r="J22" s="150" t="e">
        <f>INDEX('AXF Calculator'!$AA$5:$AP$50,MATCH('Accuracy Statement'!$D22,'AXF Calculator'!$Z$5:$Z$50,0),MATCH('Accuracy Statement'!J$13,'AXF Calculator'!$AA$3:$AP$3,0))</f>
        <v>#N/A</v>
      </c>
    </row>
    <row r="23" spans="2:10" ht="21.75" customHeight="1">
      <c r="C23" s="138">
        <f t="shared" si="0"/>
        <v>5</v>
      </c>
      <c r="D23" s="139">
        <v>20</v>
      </c>
      <c r="E23" s="150">
        <f>INDEX('AXF Calculator'!$AA$5:$AP$50,MATCH('Accuracy Statement'!$D23,'AXF Calculator'!$Z$5:$Z$50,0),MATCH('Accuracy Statement'!E$13,'AXF Calculator'!$AA$3:$AP$3,0))</f>
        <v>0.35</v>
      </c>
      <c r="F23" s="150">
        <f>INDEX('AXF Calculator'!$AA$5:$AP$50,MATCH('Accuracy Statement'!$D23,'AXF Calculator'!$Z$5:$Z$50,0),MATCH('Accuracy Statement'!F$13,'AXF Calculator'!$AA$3:$AP$3,0))</f>
        <v>0.3</v>
      </c>
      <c r="G23" s="150" t="e">
        <f>INDEX('AXF Calculator'!$AA$5:$AP$50,MATCH('Accuracy Statement'!$D23,'AXF Calculator'!$Z$5:$Z$50,0),MATCH('Accuracy Statement'!G$13,'AXF Calculator'!$AA$3:$AP$3,0))</f>
        <v>#N/A</v>
      </c>
      <c r="H23" s="150" t="e">
        <f>INDEX('AXF Calculator'!$AA$5:$AP$50,MATCH('Accuracy Statement'!$D23,'AXF Calculator'!$Z$5:$Z$50,0),MATCH('Accuracy Statement'!H$13,'AXF Calculator'!$AA$3:$AP$3,0))</f>
        <v>#N/A</v>
      </c>
      <c r="I23" s="150" t="e">
        <f>INDEX('AXF Calculator'!$AA$5:$AP$50,MATCH('Accuracy Statement'!$D23,'AXF Calculator'!$Z$5:$Z$50,0),MATCH('Accuracy Statement'!I$13,'AXF Calculator'!$AA$3:$AP$3,0))</f>
        <v>#N/A</v>
      </c>
      <c r="J23" s="150" t="e">
        <f>INDEX('AXF Calculator'!$AA$5:$AP$50,MATCH('Accuracy Statement'!$D23,'AXF Calculator'!$Z$5:$Z$50,0),MATCH('Accuracy Statement'!J$13,'AXF Calculator'!$AA$3:$AP$3,0))</f>
        <v>#N/A</v>
      </c>
    </row>
    <row r="24" spans="2:10" ht="21.75" customHeight="1">
      <c r="C24" s="138">
        <f t="shared" si="0"/>
        <v>2.5</v>
      </c>
      <c r="D24" s="139">
        <v>10</v>
      </c>
      <c r="E24" s="150">
        <f>INDEX('AXF Calculator'!$AA$5:$AP$50,MATCH('Accuracy Statement'!$D24,'AXF Calculator'!$Z$5:$Z$50,0),MATCH('Accuracy Statement'!E$13,'AXF Calculator'!$AA$3:$AP$3,0))</f>
        <v>0.35</v>
      </c>
      <c r="F24" s="150">
        <f>INDEX('AXF Calculator'!$AA$5:$AP$50,MATCH('Accuracy Statement'!$D24,'AXF Calculator'!$Z$5:$Z$50,0),MATCH('Accuracy Statement'!F$13,'AXF Calculator'!$AA$3:$AP$3,0))</f>
        <v>0.3</v>
      </c>
      <c r="G24" s="150" t="e">
        <f>INDEX('AXF Calculator'!$AA$5:$AP$50,MATCH('Accuracy Statement'!$D24,'AXF Calculator'!$Z$5:$Z$50,0),MATCH('Accuracy Statement'!G$13,'AXF Calculator'!$AA$3:$AP$3,0))</f>
        <v>#N/A</v>
      </c>
      <c r="H24" s="150" t="e">
        <f>INDEX('AXF Calculator'!$AA$5:$AP$50,MATCH('Accuracy Statement'!$D24,'AXF Calculator'!$Z$5:$Z$50,0),MATCH('Accuracy Statement'!H$13,'AXF Calculator'!$AA$3:$AP$3,0))</f>
        <v>#N/A</v>
      </c>
      <c r="I24" s="150" t="e">
        <f>INDEX('AXF Calculator'!$AA$5:$AP$50,MATCH('Accuracy Statement'!$D24,'AXF Calculator'!$Z$5:$Z$50,0),MATCH('Accuracy Statement'!I$13,'AXF Calculator'!$AA$3:$AP$3,0))</f>
        <v>#N/A</v>
      </c>
      <c r="J24" s="150" t="e">
        <f>INDEX('AXF Calculator'!$AA$5:$AP$50,MATCH('Accuracy Statement'!$D24,'AXF Calculator'!$Z$5:$Z$50,0),MATCH('Accuracy Statement'!J$13,'AXF Calculator'!$AA$3:$AP$3,0))</f>
        <v>#N/A</v>
      </c>
    </row>
    <row r="25" spans="2:10" ht="20.25" customHeight="1" thickBot="1">
      <c r="C25" s="140">
        <f t="shared" si="0"/>
        <v>1.25</v>
      </c>
      <c r="D25" s="141">
        <v>5</v>
      </c>
      <c r="E25" s="151">
        <f>INDEX('AXF Calculator'!$AA$5:$AP$50,MATCH('Accuracy Statement'!$D25,'AXF Calculator'!$Z$5:$Z$50,0),MATCH('Accuracy Statement'!E$13,'AXF Calculator'!$AA$3:$AP$3,0))</f>
        <v>1.1309760000000004</v>
      </c>
      <c r="F25" s="151">
        <f>INDEX('AXF Calculator'!$AA$5:$AP$50,MATCH('Accuracy Statement'!$D25,'AXF Calculator'!$Z$5:$Z$50,0),MATCH('Accuracy Statement'!F$13,'AXF Calculator'!$AA$3:$AP$3,0))</f>
        <v>0.3</v>
      </c>
      <c r="G25" s="151" t="e">
        <f>INDEX('AXF Calculator'!$AA$5:$AP$50,MATCH('Accuracy Statement'!$D25,'AXF Calculator'!$Z$5:$Z$50,0),MATCH('Accuracy Statement'!G$13,'AXF Calculator'!$AA$3:$AP$3,0))</f>
        <v>#N/A</v>
      </c>
      <c r="H25" s="151" t="e">
        <f>INDEX('AXF Calculator'!$AA$5:$AP$50,MATCH('Accuracy Statement'!$D25,'AXF Calculator'!$Z$5:$Z$50,0),MATCH('Accuracy Statement'!H$13,'AXF Calculator'!$AA$3:$AP$3,0))</f>
        <v>#N/A</v>
      </c>
      <c r="I25" s="151" t="e">
        <f>INDEX('AXF Calculator'!$AA$5:$AP$50,MATCH('Accuracy Statement'!$D25,'AXF Calculator'!$Z$5:$Z$50,0),MATCH('Accuracy Statement'!I$13,'AXF Calculator'!$AA$3:$AP$3,0))</f>
        <v>#N/A</v>
      </c>
      <c r="J25" s="151" t="e">
        <f>INDEX('AXF Calculator'!$AA$5:$AP$50,MATCH('Accuracy Statement'!$D25,'AXF Calculator'!$Z$5:$Z$50,0),MATCH('Accuracy Statement'!J$13,'AXF Calculator'!$AA$3:$AP$3,0))</f>
        <v>#N/A</v>
      </c>
    </row>
    <row r="26" spans="2:10" ht="13.5" customHeight="1"/>
    <row r="34" spans="4:4" ht="13.5" customHeight="1"/>
    <row r="39" spans="4:4">
      <c r="D39" t="s">
        <v>14</v>
      </c>
    </row>
    <row r="40" spans="4:4">
      <c r="D40" t="s">
        <v>9</v>
      </c>
    </row>
    <row r="54" spans="15:15">
      <c r="O54" t="s">
        <v>9</v>
      </c>
    </row>
    <row r="66" spans="3:3">
      <c r="C66" s="3" t="s">
        <v>33</v>
      </c>
    </row>
  </sheetData>
  <sheetProtection algorithmName="SHA-512" hashValue="t3Tj1jBjaZigIcNwNAjaaEcz9v47SGennN4V06pcyFa5hql+6q3bpV6ltDoYPQq/xVhUC2eQcjEVBWnBcXnfYQ==" saltValue="0fXhwK4bo+DURYopRlf0og==" spinCount="100000" sheet="1" objects="1" scenarios="1" selectLockedCells="1"/>
  <customSheetViews>
    <customSheetView guid="{D077CF75-1ABC-4168-8431-707ED1B23269}" showRuler="0">
      <selection sqref="A1:K49"/>
      <pageMargins left="1.04" right="0.87" top="0.51" bottom="1" header="0.5" footer="0.5"/>
      <printOptions horizontalCentered="1" verticalCentered="1"/>
      <pageSetup scale="97" orientation="portrait" r:id="rId1"/>
      <headerFooter alignWithMargins="0"/>
    </customSheetView>
  </customSheetViews>
  <mergeCells count="6">
    <mergeCell ref="B3:K3"/>
    <mergeCell ref="C12:D12"/>
    <mergeCell ref="C13:C14"/>
    <mergeCell ref="D13:D14"/>
    <mergeCell ref="D7:E7"/>
    <mergeCell ref="E12:J12"/>
  </mergeCells>
  <phoneticPr fontId="3" type="noConversion"/>
  <conditionalFormatting sqref="D9">
    <cfRule type="cellIs" dxfId="8" priority="1" stopIfTrue="1" operator="greaterThan">
      <formula>10</formula>
    </cfRule>
  </conditionalFormatting>
  <conditionalFormatting sqref="D10">
    <cfRule type="cellIs" dxfId="7" priority="2" stopIfTrue="1" operator="greaterThan">
      <formula>32.81</formula>
    </cfRule>
  </conditionalFormatting>
  <dataValidations count="1">
    <dataValidation allowBlank="1" showErrorMessage="1" sqref="B4 D6"/>
  </dataValidations>
  <printOptions horizontalCentered="1" verticalCentered="1"/>
  <pageMargins left="0.23916666666666667" right="0.29166666666666669" top="0.28583333333333333" bottom="0.75" header="0.3" footer="0.3"/>
  <pageSetup paperSize="9" scale="64" orientation="portrait" r:id="rId2"/>
  <headerFooter alignWithMargins="0"/>
  <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>
          <x14:formula1>
            <xm:f>'Area Calc for Velocity value'!$K$41:$K$55</xm:f>
          </x14:formula1>
          <xm:sqref>D5</xm:sqref>
        </x14:dataValidation>
        <x14:dataValidation type="list" allowBlank="1" showErrorMessage="1">
          <x14:formula1>
            <xm:f>'Area Calc for Velocity value'!$E$38:$E$42</xm:f>
          </x14:formula1>
          <xm:sqref>D7:E7</xm:sqref>
        </x14:dataValidation>
        <x14:dataValidation type="list" allowBlank="1" showErrorMessage="1">
          <x14:formula1>
            <xm:f>'Area Calc for Velocity value'!$D$38:$D$39</xm:f>
          </x14:formula1>
          <xm:sqref>E5</xm:sqref>
        </x14:dataValidation>
        <x14:dataValidation type="list" allowBlank="1" showErrorMessage="1">
          <x14:formula1>
            <xm:f>'Area Calc for Velocity value'!$I$38:$I$46</xm:f>
          </x14:formula1>
          <xm:sqref>E6</xm:sqref>
        </x14:dataValidation>
        <x14:dataValidation type="list" allowBlank="1" showInputMessage="1" showErrorMessage="1">
          <x14:formula1>
            <xm:f>'Area Calc for Velocity value'!$J$38:$J$52</xm:f>
          </x14:formula1>
          <xm:sqref>E13:J13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topLeftCell="A37" zoomScaleNormal="100" workbookViewId="0">
      <selection activeCell="F52" sqref="F52"/>
    </sheetView>
  </sheetViews>
  <sheetFormatPr defaultRowHeight="12.75"/>
  <cols>
    <col min="1" max="1" width="10.7109375" customWidth="1"/>
    <col min="2" max="3" width="10.5703125" customWidth="1"/>
    <col min="4" max="4" width="23.5703125" customWidth="1"/>
    <col min="5" max="5" width="18.5703125" bestFit="1" customWidth="1"/>
    <col min="6" max="6" width="16.85546875" customWidth="1"/>
    <col min="7" max="7" width="15.5703125" customWidth="1"/>
    <col min="8" max="8" width="15.140625" customWidth="1"/>
    <col min="9" max="9" width="22.140625" customWidth="1"/>
    <col min="10" max="10" width="23.42578125" customWidth="1"/>
    <col min="11" max="11" width="19.42578125" customWidth="1"/>
    <col min="12" max="12" width="10.85546875" customWidth="1"/>
    <col min="13" max="13" width="14.42578125" customWidth="1"/>
    <col min="15" max="15" width="15.28515625" customWidth="1"/>
    <col min="16" max="16" width="13.85546875" customWidth="1"/>
    <col min="17" max="17" width="22.42578125" hidden="1" customWidth="1"/>
    <col min="18" max="18" width="8.140625" customWidth="1"/>
  </cols>
  <sheetData>
    <row r="1" spans="1:16" s="5" customFormat="1">
      <c r="D1" s="17"/>
      <c r="E1" s="42"/>
      <c r="F1" s="19"/>
      <c r="G1" s="19"/>
    </row>
    <row r="2" spans="1:16" s="5" customFormat="1" ht="14.25">
      <c r="A2" s="7" t="s">
        <v>30</v>
      </c>
      <c r="B2" s="7" t="s">
        <v>10</v>
      </c>
      <c r="C2" s="7" t="str">
        <f>'Accuracy Statement'!E5</f>
        <v>Inches</v>
      </c>
      <c r="D2" s="7" t="s">
        <v>3</v>
      </c>
      <c r="E2" s="7" t="s">
        <v>4</v>
      </c>
      <c r="F2" s="7" t="s">
        <v>0</v>
      </c>
      <c r="G2" s="7" t="s">
        <v>5</v>
      </c>
      <c r="H2" s="7" t="s">
        <v>6</v>
      </c>
      <c r="I2" s="8" t="s">
        <v>7</v>
      </c>
      <c r="J2" s="7" t="s">
        <v>26</v>
      </c>
      <c r="K2" s="7" t="s">
        <v>27</v>
      </c>
      <c r="L2" s="7" t="s">
        <v>28</v>
      </c>
      <c r="M2" s="7" t="s">
        <v>8</v>
      </c>
    </row>
    <row r="3" spans="1:16" s="5" customFormat="1" ht="13.5" thickBot="1">
      <c r="A3" s="52" t="s">
        <v>31</v>
      </c>
      <c r="B3" s="9">
        <v>2.5</v>
      </c>
      <c r="C3" s="9" t="str">
        <f>IF($C$2=$A$2,A3,B3)</f>
        <v>0.1</v>
      </c>
      <c r="D3" s="9">
        <f>(3.1416*POWER(B3/1000,2))/4</f>
        <v>4.9087500000000002E-6</v>
      </c>
      <c r="E3" s="10">
        <f>D3*1000</f>
        <v>4.9087499999999999E-3</v>
      </c>
      <c r="F3" s="11">
        <f t="shared" ref="F3:G27" si="0">E3*60</f>
        <v>0.29452499999999998</v>
      </c>
      <c r="G3" s="11">
        <f t="shared" si="0"/>
        <v>17.671499999999998</v>
      </c>
      <c r="H3" s="10">
        <f t="shared" ref="H3:H27" si="1">F3*60/1000</f>
        <v>1.76715E-2</v>
      </c>
      <c r="I3" s="12">
        <f>G3*24/1000000</f>
        <v>4.2411599999999999E-4</v>
      </c>
      <c r="J3" s="10">
        <f t="shared" ref="J3:J27" si="2">264.17*D3</f>
        <v>1.2967444875000001E-3</v>
      </c>
      <c r="K3" s="10">
        <f>J3*60</f>
        <v>7.780466925E-2</v>
      </c>
      <c r="L3" s="11">
        <f>K3*60</f>
        <v>4.6682801549999997</v>
      </c>
      <c r="M3" s="11">
        <f>L3/7.48051948</f>
        <v>0.6240582846527124</v>
      </c>
    </row>
    <row r="4" spans="1:16" s="5" customFormat="1" ht="15" thickBot="1">
      <c r="A4" s="22">
        <v>0.2</v>
      </c>
      <c r="B4" s="9">
        <v>5</v>
      </c>
      <c r="C4" s="9">
        <f t="shared" ref="C4:C27" si="3">IF($C$2=$A$2,A4,B4)</f>
        <v>0.2</v>
      </c>
      <c r="D4" s="9">
        <f t="shared" ref="D4:D27" si="4">(3.1416*POWER(B4/1000,2))/4</f>
        <v>1.9635000000000001E-5</v>
      </c>
      <c r="E4" s="10">
        <f t="shared" ref="E4:E27" si="5">D4*1000</f>
        <v>1.9635E-2</v>
      </c>
      <c r="F4" s="11">
        <f t="shared" si="0"/>
        <v>1.1780999999999999</v>
      </c>
      <c r="G4" s="11">
        <f t="shared" si="0"/>
        <v>70.685999999999993</v>
      </c>
      <c r="H4" s="10">
        <f t="shared" si="1"/>
        <v>7.0685999999999999E-2</v>
      </c>
      <c r="I4" s="12">
        <f t="shared" ref="I4:I27" si="6">G4*24/1000000</f>
        <v>1.696464E-3</v>
      </c>
      <c r="J4" s="10">
        <f t="shared" si="2"/>
        <v>5.1869779500000003E-3</v>
      </c>
      <c r="K4" s="10">
        <f t="shared" ref="K4:L27" si="7">J4*60</f>
        <v>0.311218677</v>
      </c>
      <c r="L4" s="11">
        <f t="shared" si="7"/>
        <v>18.673120619999999</v>
      </c>
      <c r="M4" s="11">
        <f t="shared" ref="M4:M27" si="8">L4/7.48051948</f>
        <v>2.4962331386108496</v>
      </c>
      <c r="O4" s="18" t="s">
        <v>32</v>
      </c>
      <c r="P4" s="60">
        <f>INDEX(D3:M27,MATCH('Accuracy Statement'!D5,'Area Calc for Velocity value'!C3:C27,0), MATCH('Accuracy Statement'!E6,'Area Calc for Velocity value'!D2:M2,0))</f>
        <v>7.0686000000000018</v>
      </c>
    </row>
    <row r="5" spans="1:16" s="5" customFormat="1">
      <c r="A5" s="22">
        <v>0.4</v>
      </c>
      <c r="B5" s="9">
        <v>10</v>
      </c>
      <c r="C5" s="9">
        <f t="shared" si="3"/>
        <v>0.4</v>
      </c>
      <c r="D5" s="9">
        <f>(3.1416*POWER(B5/1000,2))/4</f>
        <v>7.8540000000000004E-5</v>
      </c>
      <c r="E5" s="11">
        <f t="shared" si="5"/>
        <v>7.8539999999999999E-2</v>
      </c>
      <c r="F5" s="11">
        <f t="shared" si="0"/>
        <v>4.7123999999999997</v>
      </c>
      <c r="G5" s="11">
        <f t="shared" si="0"/>
        <v>282.74399999999997</v>
      </c>
      <c r="H5" s="10">
        <f t="shared" si="1"/>
        <v>0.282744</v>
      </c>
      <c r="I5" s="12">
        <f t="shared" si="6"/>
        <v>6.7858559999999998E-3</v>
      </c>
      <c r="J5" s="10">
        <f t="shared" si="2"/>
        <v>2.0747911800000001E-2</v>
      </c>
      <c r="K5" s="10">
        <f t="shared" si="7"/>
        <v>1.244874708</v>
      </c>
      <c r="L5" s="11">
        <f t="shared" si="7"/>
        <v>74.692482479999995</v>
      </c>
      <c r="M5" s="11">
        <f t="shared" si="8"/>
        <v>9.9849325544433984</v>
      </c>
    </row>
    <row r="6" spans="1:16" s="5" customFormat="1">
      <c r="A6" s="22">
        <v>0.5</v>
      </c>
      <c r="B6" s="9">
        <v>15</v>
      </c>
      <c r="C6" s="9">
        <f t="shared" si="3"/>
        <v>0.5</v>
      </c>
      <c r="D6" s="9">
        <f t="shared" si="4"/>
        <v>1.76715E-4</v>
      </c>
      <c r="E6" s="11">
        <f t="shared" si="5"/>
        <v>0.17671500000000001</v>
      </c>
      <c r="F6" s="11">
        <f t="shared" si="0"/>
        <v>10.6029</v>
      </c>
      <c r="G6" s="11">
        <f t="shared" si="0"/>
        <v>636.17399999999998</v>
      </c>
      <c r="H6" s="10">
        <f t="shared" si="1"/>
        <v>0.63617400000000002</v>
      </c>
      <c r="I6" s="12">
        <f t="shared" si="6"/>
        <v>1.5268176E-2</v>
      </c>
      <c r="J6" s="10">
        <f t="shared" si="2"/>
        <v>4.6682801550000007E-2</v>
      </c>
      <c r="K6" s="10">
        <f t="shared" si="7"/>
        <v>2.8009680930000003</v>
      </c>
      <c r="L6" s="11">
        <f t="shared" si="7"/>
        <v>168.05808558000001</v>
      </c>
      <c r="M6" s="11">
        <f t="shared" si="8"/>
        <v>22.466098247497648</v>
      </c>
    </row>
    <row r="7" spans="1:16" s="5" customFormat="1">
      <c r="A7" s="22">
        <v>1</v>
      </c>
      <c r="B7" s="9">
        <v>25</v>
      </c>
      <c r="C7" s="9">
        <f t="shared" si="3"/>
        <v>1</v>
      </c>
      <c r="D7" s="9">
        <f t="shared" si="4"/>
        <v>4.908750000000001E-4</v>
      </c>
      <c r="E7" s="11">
        <f t="shared" si="5"/>
        <v>0.49087500000000012</v>
      </c>
      <c r="F7" s="11">
        <f t="shared" si="0"/>
        <v>29.452500000000008</v>
      </c>
      <c r="G7" s="11">
        <f t="shared" si="0"/>
        <v>1767.1500000000005</v>
      </c>
      <c r="H7" s="13">
        <f t="shared" si="1"/>
        <v>1.7671500000000004</v>
      </c>
      <c r="I7" s="12">
        <f t="shared" si="6"/>
        <v>4.2411600000000015E-2</v>
      </c>
      <c r="J7" s="10">
        <f t="shared" si="2"/>
        <v>0.12967444875000003</v>
      </c>
      <c r="K7" s="10">
        <f t="shared" si="7"/>
        <v>7.7804669250000016</v>
      </c>
      <c r="L7" s="11">
        <f t="shared" si="7"/>
        <v>466.82801550000011</v>
      </c>
      <c r="M7" s="11">
        <f t="shared" si="8"/>
        <v>62.405828465271256</v>
      </c>
    </row>
    <row r="8" spans="1:16" s="5" customFormat="1">
      <c r="A8" s="22">
        <v>1.25</v>
      </c>
      <c r="B8" s="9">
        <v>32</v>
      </c>
      <c r="C8" s="9">
        <f t="shared" si="3"/>
        <v>1.25</v>
      </c>
      <c r="D8" s="9">
        <f t="shared" si="4"/>
        <v>8.0424959999999992E-4</v>
      </c>
      <c r="E8" s="11">
        <f t="shared" si="5"/>
        <v>0.8042495999999999</v>
      </c>
      <c r="F8" s="11">
        <f t="shared" si="0"/>
        <v>48.254975999999992</v>
      </c>
      <c r="G8" s="11">
        <f t="shared" si="0"/>
        <v>2895.2985599999997</v>
      </c>
      <c r="H8" s="13">
        <f t="shared" si="1"/>
        <v>2.8952985599999996</v>
      </c>
      <c r="I8" s="12">
        <f t="shared" si="6"/>
        <v>6.9487165439999998E-2</v>
      </c>
      <c r="J8" s="10">
        <f t="shared" si="2"/>
        <v>0.21245861683199999</v>
      </c>
      <c r="K8" s="10">
        <f t="shared" si="7"/>
        <v>12.747517009919999</v>
      </c>
      <c r="L8" s="11">
        <f t="shared" si="7"/>
        <v>764.8510205952</v>
      </c>
      <c r="M8" s="11">
        <f t="shared" si="8"/>
        <v>102.2457093575004</v>
      </c>
    </row>
    <row r="9" spans="1:16" s="5" customFormat="1">
      <c r="A9" s="22">
        <v>1.5</v>
      </c>
      <c r="B9" s="9">
        <v>40</v>
      </c>
      <c r="C9" s="9">
        <f t="shared" si="3"/>
        <v>1.5</v>
      </c>
      <c r="D9" s="9">
        <f t="shared" si="4"/>
        <v>1.2566400000000001E-3</v>
      </c>
      <c r="E9" s="11">
        <f t="shared" si="5"/>
        <v>1.25664</v>
      </c>
      <c r="F9" s="11">
        <f t="shared" si="0"/>
        <v>75.398399999999995</v>
      </c>
      <c r="G9" s="11">
        <f t="shared" si="0"/>
        <v>4523.9039999999995</v>
      </c>
      <c r="H9" s="13">
        <f t="shared" si="1"/>
        <v>4.5239039999999999</v>
      </c>
      <c r="I9" s="12">
        <f t="shared" si="6"/>
        <v>0.108573696</v>
      </c>
      <c r="J9" s="10">
        <f t="shared" si="2"/>
        <v>0.33196658880000002</v>
      </c>
      <c r="K9" s="10">
        <f t="shared" si="7"/>
        <v>19.917995328</v>
      </c>
      <c r="L9" s="11">
        <f t="shared" si="7"/>
        <v>1195.0797196799999</v>
      </c>
      <c r="M9" s="11">
        <f t="shared" si="8"/>
        <v>159.75892087109438</v>
      </c>
    </row>
    <row r="10" spans="1:16" s="5" customFormat="1">
      <c r="A10" s="22">
        <v>2</v>
      </c>
      <c r="B10" s="9">
        <v>50</v>
      </c>
      <c r="C10" s="9">
        <f t="shared" si="3"/>
        <v>2</v>
      </c>
      <c r="D10" s="9">
        <f t="shared" si="4"/>
        <v>1.9635000000000004E-3</v>
      </c>
      <c r="E10" s="11">
        <f t="shared" si="5"/>
        <v>1.9635000000000005</v>
      </c>
      <c r="F10" s="11">
        <f t="shared" si="0"/>
        <v>117.81000000000003</v>
      </c>
      <c r="G10" s="11">
        <f t="shared" si="0"/>
        <v>7068.6000000000022</v>
      </c>
      <c r="H10" s="13">
        <f t="shared" si="1"/>
        <v>7.0686000000000018</v>
      </c>
      <c r="I10" s="12">
        <f t="shared" si="6"/>
        <v>0.16964640000000006</v>
      </c>
      <c r="J10" s="10">
        <f t="shared" si="2"/>
        <v>0.51869779500000013</v>
      </c>
      <c r="K10" s="10">
        <f t="shared" si="7"/>
        <v>31.121867700000006</v>
      </c>
      <c r="L10" s="11">
        <f t="shared" si="7"/>
        <v>1867.3120620000004</v>
      </c>
      <c r="M10" s="11">
        <f t="shared" si="8"/>
        <v>249.62331386108502</v>
      </c>
    </row>
    <row r="11" spans="1:16" s="5" customFormat="1">
      <c r="A11" s="22">
        <v>2.5</v>
      </c>
      <c r="B11" s="9">
        <v>65</v>
      </c>
      <c r="C11" s="9">
        <f t="shared" si="3"/>
        <v>2.5</v>
      </c>
      <c r="D11" s="9">
        <f t="shared" si="4"/>
        <v>3.3183150000000005E-3</v>
      </c>
      <c r="E11" s="11">
        <f t="shared" si="5"/>
        <v>3.3183150000000006</v>
      </c>
      <c r="F11" s="11">
        <f t="shared" si="0"/>
        <v>199.09890000000004</v>
      </c>
      <c r="G11" s="11">
        <f t="shared" si="0"/>
        <v>11945.934000000003</v>
      </c>
      <c r="H11" s="11">
        <f t="shared" si="1"/>
        <v>11.945934000000003</v>
      </c>
      <c r="I11" s="12">
        <f t="shared" si="6"/>
        <v>0.28670241600000007</v>
      </c>
      <c r="J11" s="10">
        <f t="shared" si="2"/>
        <v>0.87659927355000022</v>
      </c>
      <c r="K11" s="10">
        <f t="shared" si="7"/>
        <v>52.59595641300001</v>
      </c>
      <c r="L11" s="11">
        <f t="shared" si="7"/>
        <v>3155.7573847800004</v>
      </c>
      <c r="M11" s="11">
        <f t="shared" si="8"/>
        <v>421.86340042523364</v>
      </c>
    </row>
    <row r="12" spans="1:16" s="5" customFormat="1">
      <c r="A12" s="22">
        <v>3</v>
      </c>
      <c r="B12" s="9">
        <v>80</v>
      </c>
      <c r="C12" s="9">
        <f t="shared" si="3"/>
        <v>3</v>
      </c>
      <c r="D12" s="9">
        <f t="shared" si="4"/>
        <v>5.0265600000000002E-3</v>
      </c>
      <c r="E12" s="11">
        <f t="shared" si="5"/>
        <v>5.0265599999999999</v>
      </c>
      <c r="F12" s="11">
        <f t="shared" si="0"/>
        <v>301.59359999999998</v>
      </c>
      <c r="G12" s="11">
        <f t="shared" si="0"/>
        <v>18095.615999999998</v>
      </c>
      <c r="H12" s="11">
        <f t="shared" si="1"/>
        <v>18.095616</v>
      </c>
      <c r="I12" s="12">
        <f t="shared" si="6"/>
        <v>0.43429478399999999</v>
      </c>
      <c r="J12" s="10">
        <f t="shared" si="2"/>
        <v>1.3278663552000001</v>
      </c>
      <c r="K12" s="10">
        <f t="shared" si="7"/>
        <v>79.671981312</v>
      </c>
      <c r="L12" s="11">
        <f t="shared" si="7"/>
        <v>4780.3188787199997</v>
      </c>
      <c r="M12" s="11">
        <f t="shared" si="8"/>
        <v>639.0356834843775</v>
      </c>
    </row>
    <row r="13" spans="1:16" s="5" customFormat="1">
      <c r="A13" s="22">
        <v>4</v>
      </c>
      <c r="B13" s="9">
        <v>100</v>
      </c>
      <c r="C13" s="9">
        <f t="shared" si="3"/>
        <v>4</v>
      </c>
      <c r="D13" s="9">
        <f t="shared" si="4"/>
        <v>7.8540000000000016E-3</v>
      </c>
      <c r="E13" s="11">
        <f t="shared" si="5"/>
        <v>7.8540000000000019</v>
      </c>
      <c r="F13" s="11">
        <f t="shared" si="0"/>
        <v>471.24000000000012</v>
      </c>
      <c r="G13" s="11">
        <f t="shared" si="0"/>
        <v>28274.400000000009</v>
      </c>
      <c r="H13" s="11">
        <f t="shared" si="1"/>
        <v>28.274400000000007</v>
      </c>
      <c r="I13" s="12">
        <f t="shared" si="6"/>
        <v>0.67858560000000023</v>
      </c>
      <c r="J13" s="10">
        <f t="shared" si="2"/>
        <v>2.0747911800000005</v>
      </c>
      <c r="K13" s="10">
        <f t="shared" si="7"/>
        <v>124.48747080000003</v>
      </c>
      <c r="L13" s="11">
        <f t="shared" si="7"/>
        <v>7469.2482480000017</v>
      </c>
      <c r="M13" s="11">
        <f t="shared" si="8"/>
        <v>998.49325544434009</v>
      </c>
    </row>
    <row r="14" spans="1:16" s="5" customFormat="1">
      <c r="A14" s="22">
        <v>5</v>
      </c>
      <c r="B14" s="9">
        <v>125</v>
      </c>
      <c r="C14" s="9">
        <f t="shared" si="3"/>
        <v>5</v>
      </c>
      <c r="D14" s="9">
        <f t="shared" si="4"/>
        <v>1.2271875E-2</v>
      </c>
      <c r="E14" s="11">
        <f t="shared" si="5"/>
        <v>12.271875</v>
      </c>
      <c r="F14" s="11">
        <f t="shared" si="0"/>
        <v>736.3125</v>
      </c>
      <c r="G14" s="11">
        <f t="shared" si="0"/>
        <v>44178.75</v>
      </c>
      <c r="H14" s="11">
        <f t="shared" si="1"/>
        <v>44.178750000000001</v>
      </c>
      <c r="I14" s="12">
        <f t="shared" si="6"/>
        <v>1.06029</v>
      </c>
      <c r="J14" s="10">
        <f t="shared" si="2"/>
        <v>3.24186121875</v>
      </c>
      <c r="K14" s="10">
        <f t="shared" si="7"/>
        <v>194.51167312499999</v>
      </c>
      <c r="L14" s="11">
        <f t="shared" si="7"/>
        <v>11670.700387499999</v>
      </c>
      <c r="M14" s="11">
        <f t="shared" si="8"/>
        <v>1560.1457116317808</v>
      </c>
    </row>
    <row r="15" spans="1:16" s="5" customFormat="1">
      <c r="A15" s="22">
        <v>6</v>
      </c>
      <c r="B15" s="9">
        <v>150</v>
      </c>
      <c r="C15" s="9">
        <f t="shared" si="3"/>
        <v>6</v>
      </c>
      <c r="D15" s="9">
        <f t="shared" si="4"/>
        <v>1.76715E-2</v>
      </c>
      <c r="E15" s="11">
        <f t="shared" si="5"/>
        <v>17.671499999999998</v>
      </c>
      <c r="F15" s="14">
        <f t="shared" si="0"/>
        <v>1060.29</v>
      </c>
      <c r="G15" s="11">
        <f t="shared" si="0"/>
        <v>63617.399999999994</v>
      </c>
      <c r="H15" s="11">
        <f t="shared" si="1"/>
        <v>63.617399999999996</v>
      </c>
      <c r="I15" s="12">
        <f t="shared" si="6"/>
        <v>1.5268175999999998</v>
      </c>
      <c r="J15" s="10">
        <f t="shared" si="2"/>
        <v>4.6682801550000006</v>
      </c>
      <c r="K15" s="10">
        <f t="shared" si="7"/>
        <v>280.09680930000002</v>
      </c>
      <c r="L15" s="11">
        <f t="shared" si="7"/>
        <v>16805.808558000001</v>
      </c>
      <c r="M15" s="11">
        <f t="shared" si="8"/>
        <v>2246.6098247497648</v>
      </c>
    </row>
    <row r="16" spans="1:16" s="5" customFormat="1">
      <c r="A16" s="22">
        <v>8</v>
      </c>
      <c r="B16" s="9">
        <v>200</v>
      </c>
      <c r="C16" s="9">
        <f t="shared" si="3"/>
        <v>8</v>
      </c>
      <c r="D16" s="9">
        <f t="shared" si="4"/>
        <v>3.1416000000000006E-2</v>
      </c>
      <c r="E16" s="11">
        <f t="shared" si="5"/>
        <v>31.416000000000007</v>
      </c>
      <c r="F16" s="14">
        <f t="shared" si="0"/>
        <v>1884.9600000000005</v>
      </c>
      <c r="G16" s="11">
        <f t="shared" si="0"/>
        <v>113097.60000000003</v>
      </c>
      <c r="H16" s="11">
        <f t="shared" si="1"/>
        <v>113.09760000000003</v>
      </c>
      <c r="I16" s="12">
        <f t="shared" si="6"/>
        <v>2.7143424000000009</v>
      </c>
      <c r="J16" s="10">
        <f t="shared" si="2"/>
        <v>8.299164720000002</v>
      </c>
      <c r="K16" s="10">
        <f t="shared" si="7"/>
        <v>497.9498832000001</v>
      </c>
      <c r="L16" s="11">
        <f t="shared" si="7"/>
        <v>29876.992992000007</v>
      </c>
      <c r="M16" s="11">
        <f t="shared" si="8"/>
        <v>3993.9730217773604</v>
      </c>
    </row>
    <row r="17" spans="1:16" s="5" customFormat="1">
      <c r="A17" s="22">
        <v>10</v>
      </c>
      <c r="B17" s="9">
        <v>250</v>
      </c>
      <c r="C17" s="9">
        <f t="shared" si="3"/>
        <v>10</v>
      </c>
      <c r="D17" s="9">
        <f t="shared" si="4"/>
        <v>4.9087499999999999E-2</v>
      </c>
      <c r="E17" s="11">
        <f t="shared" si="5"/>
        <v>49.087499999999999</v>
      </c>
      <c r="F17" s="14">
        <f t="shared" si="0"/>
        <v>2945.25</v>
      </c>
      <c r="G17" s="11">
        <f t="shared" si="0"/>
        <v>176715</v>
      </c>
      <c r="H17" s="11">
        <f t="shared" si="1"/>
        <v>176.715</v>
      </c>
      <c r="I17" s="12">
        <f t="shared" si="6"/>
        <v>4.2411599999999998</v>
      </c>
      <c r="J17" s="10">
        <f t="shared" si="2"/>
        <v>12.967444875</v>
      </c>
      <c r="K17" s="10">
        <f t="shared" si="7"/>
        <v>778.04669249999995</v>
      </c>
      <c r="L17" s="11">
        <f t="shared" si="7"/>
        <v>46682.801549999996</v>
      </c>
      <c r="M17" s="11">
        <f t="shared" si="8"/>
        <v>6240.5828465271234</v>
      </c>
    </row>
    <row r="18" spans="1:16" s="5" customFormat="1">
      <c r="A18" s="22">
        <v>12</v>
      </c>
      <c r="B18" s="9">
        <v>300</v>
      </c>
      <c r="C18" s="9">
        <f t="shared" si="3"/>
        <v>12</v>
      </c>
      <c r="D18" s="9">
        <f t="shared" si="4"/>
        <v>7.0685999999999999E-2</v>
      </c>
      <c r="E18" s="11">
        <f t="shared" si="5"/>
        <v>70.685999999999993</v>
      </c>
      <c r="F18" s="14">
        <f t="shared" si="0"/>
        <v>4241.16</v>
      </c>
      <c r="G18" s="11">
        <f t="shared" si="0"/>
        <v>254469.59999999998</v>
      </c>
      <c r="H18" s="11">
        <f t="shared" si="1"/>
        <v>254.46959999999999</v>
      </c>
      <c r="I18" s="12">
        <f t="shared" si="6"/>
        <v>6.1072703999999991</v>
      </c>
      <c r="J18" s="10">
        <f t="shared" si="2"/>
        <v>18.673120620000002</v>
      </c>
      <c r="K18" s="10">
        <f t="shared" si="7"/>
        <v>1120.3872372000001</v>
      </c>
      <c r="L18" s="11">
        <f t="shared" si="7"/>
        <v>67223.234232000003</v>
      </c>
      <c r="M18" s="11">
        <f t="shared" si="8"/>
        <v>8986.4392989990592</v>
      </c>
    </row>
    <row r="19" spans="1:16" s="5" customFormat="1">
      <c r="A19" s="22">
        <v>14</v>
      </c>
      <c r="B19" s="9">
        <v>350</v>
      </c>
      <c r="C19" s="9">
        <f t="shared" si="3"/>
        <v>14</v>
      </c>
      <c r="D19" s="9">
        <f t="shared" si="4"/>
        <v>9.6211499999999991E-2</v>
      </c>
      <c r="E19" s="11">
        <f t="shared" si="5"/>
        <v>96.211499999999987</v>
      </c>
      <c r="F19" s="14">
        <f t="shared" si="0"/>
        <v>5772.69</v>
      </c>
      <c r="G19" s="11">
        <f t="shared" si="0"/>
        <v>346361.39999999997</v>
      </c>
      <c r="H19" s="11">
        <f t="shared" si="1"/>
        <v>346.36139999999995</v>
      </c>
      <c r="I19" s="12">
        <f t="shared" si="6"/>
        <v>8.3126736000000001</v>
      </c>
      <c r="J19" s="10">
        <f t="shared" si="2"/>
        <v>25.416191954999999</v>
      </c>
      <c r="K19" s="10">
        <f t="shared" si="7"/>
        <v>1524.9715173</v>
      </c>
      <c r="L19" s="11">
        <f t="shared" si="7"/>
        <v>91498.291037999996</v>
      </c>
      <c r="M19" s="11">
        <f t="shared" si="8"/>
        <v>12231.542379193163</v>
      </c>
    </row>
    <row r="20" spans="1:16" s="5" customFormat="1" ht="13.5" thickBot="1">
      <c r="A20" s="22">
        <v>16</v>
      </c>
      <c r="B20" s="9">
        <v>400</v>
      </c>
      <c r="C20" s="9">
        <f t="shared" si="3"/>
        <v>16</v>
      </c>
      <c r="D20" s="9">
        <f t="shared" si="4"/>
        <v>0.12566400000000003</v>
      </c>
      <c r="E20" s="11">
        <f t="shared" si="5"/>
        <v>125.66400000000003</v>
      </c>
      <c r="F20" s="14">
        <f t="shared" si="0"/>
        <v>7539.840000000002</v>
      </c>
      <c r="G20" s="11">
        <f t="shared" si="0"/>
        <v>452390.40000000014</v>
      </c>
      <c r="H20" s="11">
        <f t="shared" si="1"/>
        <v>452.39040000000011</v>
      </c>
      <c r="I20" s="12">
        <f t="shared" si="6"/>
        <v>10.857369600000004</v>
      </c>
      <c r="J20" s="10">
        <f t="shared" si="2"/>
        <v>33.196658880000008</v>
      </c>
      <c r="K20" s="10">
        <f t="shared" si="7"/>
        <v>1991.7995328000004</v>
      </c>
      <c r="L20" s="11">
        <f t="shared" si="7"/>
        <v>119507.97196800003</v>
      </c>
      <c r="M20" s="11">
        <f t="shared" si="8"/>
        <v>15975.892087109441</v>
      </c>
    </row>
    <row r="21" spans="1:16" s="5" customFormat="1" ht="15" thickBot="1">
      <c r="A21" s="22">
        <v>18</v>
      </c>
      <c r="B21" s="9">
        <v>450</v>
      </c>
      <c r="C21" s="9">
        <f t="shared" si="3"/>
        <v>18</v>
      </c>
      <c r="D21" s="9">
        <f t="shared" si="4"/>
        <v>0.1590435</v>
      </c>
      <c r="E21" s="11">
        <f t="shared" si="5"/>
        <v>159.04349999999999</v>
      </c>
      <c r="F21" s="14">
        <f t="shared" si="0"/>
        <v>9542.61</v>
      </c>
      <c r="G21" s="11">
        <f t="shared" si="0"/>
        <v>572556.60000000009</v>
      </c>
      <c r="H21" s="11">
        <f t="shared" si="1"/>
        <v>572.55660000000012</v>
      </c>
      <c r="I21" s="12">
        <f t="shared" si="6"/>
        <v>13.741358400000003</v>
      </c>
      <c r="J21" s="10">
        <f t="shared" si="2"/>
        <v>42.014521395000003</v>
      </c>
      <c r="K21" s="10">
        <f t="shared" si="7"/>
        <v>2520.8712837000003</v>
      </c>
      <c r="L21" s="11">
        <f t="shared" si="7"/>
        <v>151252.27702200002</v>
      </c>
      <c r="M21" s="11">
        <f t="shared" si="8"/>
        <v>20219.488422747883</v>
      </c>
      <c r="O21" s="61" t="s">
        <v>65</v>
      </c>
      <c r="P21" s="60">
        <f>IF(C2=B2,'Accuracy Statement'!D5, VLOOKUP('Accuracy Statement'!D5,'Area Calc for Velocity value'!A3:B27,2))</f>
        <v>50</v>
      </c>
    </row>
    <row r="22" spans="1:16" s="5" customFormat="1">
      <c r="A22" s="22">
        <v>20</v>
      </c>
      <c r="B22" s="9">
        <v>500</v>
      </c>
      <c r="C22" s="9">
        <f t="shared" si="3"/>
        <v>20</v>
      </c>
      <c r="D22" s="9">
        <f t="shared" si="4"/>
        <v>0.19635</v>
      </c>
      <c r="E22" s="11">
        <f t="shared" si="5"/>
        <v>196.35</v>
      </c>
      <c r="F22" s="15">
        <f t="shared" si="0"/>
        <v>11781</v>
      </c>
      <c r="G22" s="11">
        <f t="shared" si="0"/>
        <v>706860</v>
      </c>
      <c r="H22" s="11">
        <f t="shared" si="1"/>
        <v>706.86</v>
      </c>
      <c r="I22" s="12">
        <f t="shared" si="6"/>
        <v>16.964639999999999</v>
      </c>
      <c r="J22" s="10">
        <f t="shared" si="2"/>
        <v>51.8697795</v>
      </c>
      <c r="K22" s="10">
        <f t="shared" si="7"/>
        <v>3112.1867699999998</v>
      </c>
      <c r="L22" s="11">
        <f>K22*60</f>
        <v>186731.20619999999</v>
      </c>
      <c r="M22" s="11">
        <f t="shared" si="8"/>
        <v>24962.331386108493</v>
      </c>
    </row>
    <row r="23" spans="1:16" s="5" customFormat="1">
      <c r="A23" s="22">
        <v>24</v>
      </c>
      <c r="B23" s="9">
        <v>600</v>
      </c>
      <c r="C23" s="9">
        <f t="shared" si="3"/>
        <v>24</v>
      </c>
      <c r="D23" s="9">
        <f t="shared" si="4"/>
        <v>0.282744</v>
      </c>
      <c r="E23" s="11">
        <f t="shared" si="5"/>
        <v>282.74399999999997</v>
      </c>
      <c r="F23" s="15">
        <f t="shared" si="0"/>
        <v>16964.64</v>
      </c>
      <c r="G23" s="11">
        <f t="shared" si="0"/>
        <v>1017878.3999999999</v>
      </c>
      <c r="H23" s="11">
        <f t="shared" si="1"/>
        <v>1017.8783999999999</v>
      </c>
      <c r="I23" s="12">
        <f t="shared" si="6"/>
        <v>24.429081599999996</v>
      </c>
      <c r="J23" s="10">
        <f t="shared" si="2"/>
        <v>74.69248248000001</v>
      </c>
      <c r="K23" s="10">
        <f t="shared" si="7"/>
        <v>4481.5489488000003</v>
      </c>
      <c r="L23" s="11">
        <f t="shared" si="7"/>
        <v>268892.93692800001</v>
      </c>
      <c r="M23" s="11">
        <f t="shared" si="8"/>
        <v>35945.757195996237</v>
      </c>
    </row>
    <row r="24" spans="1:16" s="5" customFormat="1">
      <c r="A24" s="22">
        <v>28</v>
      </c>
      <c r="B24" s="9">
        <v>700</v>
      </c>
      <c r="C24" s="9">
        <f t="shared" si="3"/>
        <v>28</v>
      </c>
      <c r="D24" s="9">
        <f t="shared" si="4"/>
        <v>0.38484599999999997</v>
      </c>
      <c r="E24" s="11">
        <f t="shared" si="5"/>
        <v>384.84599999999995</v>
      </c>
      <c r="F24" s="15">
        <f t="shared" si="0"/>
        <v>23090.76</v>
      </c>
      <c r="G24" s="11">
        <f t="shared" si="0"/>
        <v>1385445.5999999999</v>
      </c>
      <c r="H24" s="11">
        <f t="shared" si="1"/>
        <v>1385.4455999999998</v>
      </c>
      <c r="I24" s="12">
        <f t="shared" si="6"/>
        <v>33.2506944</v>
      </c>
      <c r="J24" s="10">
        <f t="shared" si="2"/>
        <v>101.66476781999999</v>
      </c>
      <c r="K24" s="10">
        <f t="shared" si="7"/>
        <v>6099.8860691999998</v>
      </c>
      <c r="L24" s="11">
        <f t="shared" si="7"/>
        <v>365993.16415199998</v>
      </c>
      <c r="M24" s="11">
        <f t="shared" si="8"/>
        <v>48926.16951677265</v>
      </c>
    </row>
    <row r="25" spans="1:16" s="5" customFormat="1">
      <c r="A25" s="22">
        <v>32</v>
      </c>
      <c r="B25" s="9">
        <v>800</v>
      </c>
      <c r="C25" s="9">
        <f t="shared" si="3"/>
        <v>32</v>
      </c>
      <c r="D25" s="9">
        <f t="shared" si="4"/>
        <v>0.5026560000000001</v>
      </c>
      <c r="E25" s="11">
        <f t="shared" si="5"/>
        <v>502.65600000000012</v>
      </c>
      <c r="F25" s="15">
        <f t="shared" si="0"/>
        <v>30159.360000000008</v>
      </c>
      <c r="G25" s="11">
        <f t="shared" si="0"/>
        <v>1809561.6000000006</v>
      </c>
      <c r="H25" s="11">
        <f t="shared" si="1"/>
        <v>1809.5616000000005</v>
      </c>
      <c r="I25" s="12">
        <f t="shared" si="6"/>
        <v>43.429478400000015</v>
      </c>
      <c r="J25" s="10">
        <f t="shared" si="2"/>
        <v>132.78663552000003</v>
      </c>
      <c r="K25" s="10">
        <f t="shared" si="7"/>
        <v>7967.1981312000016</v>
      </c>
      <c r="L25" s="11">
        <f t="shared" si="7"/>
        <v>478031.88787200011</v>
      </c>
      <c r="M25" s="11">
        <f t="shared" si="8"/>
        <v>63903.568348437766</v>
      </c>
    </row>
    <row r="26" spans="1:16" s="5" customFormat="1">
      <c r="A26" s="22">
        <v>36</v>
      </c>
      <c r="B26" s="9">
        <v>900</v>
      </c>
      <c r="C26" s="9">
        <f t="shared" si="3"/>
        <v>36</v>
      </c>
      <c r="D26" s="9">
        <f t="shared" si="4"/>
        <v>0.63617400000000002</v>
      </c>
      <c r="E26" s="11">
        <f t="shared" si="5"/>
        <v>636.17399999999998</v>
      </c>
      <c r="F26" s="15">
        <f t="shared" si="0"/>
        <v>38170.44</v>
      </c>
      <c r="G26" s="11">
        <f t="shared" si="0"/>
        <v>2290226.4000000004</v>
      </c>
      <c r="H26" s="11">
        <f t="shared" si="1"/>
        <v>2290.2264000000005</v>
      </c>
      <c r="I26" s="12">
        <f t="shared" si="6"/>
        <v>54.965433600000011</v>
      </c>
      <c r="J26" s="10">
        <f t="shared" si="2"/>
        <v>168.05808558000001</v>
      </c>
      <c r="K26" s="10">
        <f t="shared" si="7"/>
        <v>10083.485134800001</v>
      </c>
      <c r="L26" s="11">
        <f t="shared" si="7"/>
        <v>605009.1080880001</v>
      </c>
      <c r="M26" s="11">
        <f t="shared" si="8"/>
        <v>80877.953690991533</v>
      </c>
    </row>
    <row r="27" spans="1:16" s="5" customFormat="1">
      <c r="A27" s="23">
        <v>40</v>
      </c>
      <c r="B27" s="9">
        <v>1000</v>
      </c>
      <c r="C27" s="9">
        <f t="shared" si="3"/>
        <v>40</v>
      </c>
      <c r="D27" s="9">
        <f t="shared" si="4"/>
        <v>0.78539999999999999</v>
      </c>
      <c r="E27" s="11">
        <f t="shared" si="5"/>
        <v>785.4</v>
      </c>
      <c r="F27" s="15">
        <f t="shared" si="0"/>
        <v>47124</v>
      </c>
      <c r="G27" s="11">
        <f t="shared" si="0"/>
        <v>2827440</v>
      </c>
      <c r="H27" s="11">
        <f t="shared" si="1"/>
        <v>2827.44</v>
      </c>
      <c r="I27" s="12">
        <f t="shared" si="6"/>
        <v>67.858559999999997</v>
      </c>
      <c r="J27" s="10">
        <f t="shared" si="2"/>
        <v>207.479118</v>
      </c>
      <c r="K27" s="10">
        <f t="shared" si="7"/>
        <v>12448.747079999999</v>
      </c>
      <c r="L27" s="11">
        <f t="shared" si="7"/>
        <v>746924.82479999994</v>
      </c>
      <c r="M27" s="11">
        <f t="shared" si="8"/>
        <v>99849.325544433974</v>
      </c>
    </row>
    <row r="28" spans="1:16" s="5" customFormat="1">
      <c r="A28"/>
    </row>
    <row r="29" spans="1:16" s="5" customFormat="1">
      <c r="A29" s="4"/>
      <c r="E29" s="38"/>
    </row>
    <row r="30" spans="1:16" s="5" customFormat="1">
      <c r="A30" s="4"/>
    </row>
    <row r="31" spans="1:16" s="5" customFormat="1" ht="13.5" thickBot="1">
      <c r="A31" s="4"/>
      <c r="E31" s="38"/>
    </row>
    <row r="32" spans="1:16" ht="45" customHeight="1" thickBot="1">
      <c r="D32" s="179" t="s">
        <v>54</v>
      </c>
      <c r="E32" s="180"/>
      <c r="F32" s="180"/>
      <c r="G32" s="180"/>
      <c r="H32" s="180"/>
      <c r="I32" s="180"/>
      <c r="J32" s="180"/>
      <c r="K32" s="180"/>
      <c r="L32" s="180"/>
      <c r="M32" s="181"/>
    </row>
    <row r="33" spans="4:16" ht="18.75" customHeight="1">
      <c r="D33" s="35"/>
      <c r="E33" s="5"/>
      <c r="F33" s="35"/>
      <c r="G33" s="35"/>
      <c r="H33" s="35"/>
      <c r="I33" s="35"/>
      <c r="J33" s="35"/>
      <c r="K33" s="35"/>
      <c r="L33" s="35"/>
    </row>
    <row r="34" spans="4:16" ht="18.75" customHeight="1" thickBot="1">
      <c r="D34" s="35"/>
      <c r="E34" s="5"/>
      <c r="F34" s="35"/>
      <c r="G34" s="35"/>
      <c r="H34" s="35"/>
      <c r="I34" s="35"/>
      <c r="J34" s="35"/>
      <c r="K34" s="35"/>
      <c r="L34" s="35"/>
    </row>
    <row r="35" spans="4:16" ht="41.25" customHeight="1" thickBot="1">
      <c r="D35" s="179" t="s">
        <v>55</v>
      </c>
      <c r="E35" s="180"/>
      <c r="F35" s="180"/>
      <c r="G35" s="180"/>
      <c r="H35" s="180"/>
      <c r="I35" s="180"/>
      <c r="J35" s="180"/>
      <c r="K35" s="180"/>
      <c r="L35" s="180"/>
      <c r="M35" s="181"/>
    </row>
    <row r="37" spans="4:16" ht="51.75" thickBot="1">
      <c r="D37" s="3" t="s">
        <v>56</v>
      </c>
      <c r="E37" s="3" t="s">
        <v>49</v>
      </c>
      <c r="F37" s="3" t="s">
        <v>57</v>
      </c>
      <c r="G37" s="3" t="s">
        <v>58</v>
      </c>
      <c r="H37" s="3" t="s">
        <v>59</v>
      </c>
      <c r="I37" s="3" t="s">
        <v>60</v>
      </c>
      <c r="J37" s="3" t="s">
        <v>62</v>
      </c>
      <c r="K37" s="49" t="s">
        <v>63</v>
      </c>
    </row>
    <row r="38" spans="4:16" ht="15" thickBot="1">
      <c r="D38" s="56" t="s">
        <v>30</v>
      </c>
      <c r="E38" s="45" t="s">
        <v>51</v>
      </c>
      <c r="F38" s="46">
        <v>1</v>
      </c>
      <c r="G38" s="33">
        <v>2.5</v>
      </c>
      <c r="H38" s="48">
        <v>0.1</v>
      </c>
      <c r="I38" s="57" t="s">
        <v>4</v>
      </c>
      <c r="J38" s="48" t="s">
        <v>46</v>
      </c>
      <c r="K38" s="55">
        <f>IF('Accuracy Statement'!$E$5='Area Calc for Velocity value'!$D$38,'Area Calc for Velocity value'!H38,'Area Calc for Velocity value'!G38)</f>
        <v>0.1</v>
      </c>
      <c r="L38" s="53"/>
      <c r="M38" s="51"/>
      <c r="O38" s="63" t="s">
        <v>69</v>
      </c>
      <c r="P38" s="145">
        <f>VLOOKUP('Accuracy Statement'!D7,E38:F42,2,FALSE)</f>
        <v>1</v>
      </c>
    </row>
    <row r="39" spans="4:16">
      <c r="D39" s="44" t="s">
        <v>10</v>
      </c>
      <c r="E39" s="9" t="s">
        <v>52</v>
      </c>
      <c r="F39" s="46">
        <v>1</v>
      </c>
      <c r="G39" s="33">
        <v>5</v>
      </c>
      <c r="H39" s="54">
        <v>0.2</v>
      </c>
      <c r="I39" s="58" t="s">
        <v>0</v>
      </c>
      <c r="J39" s="47" t="s">
        <v>47</v>
      </c>
      <c r="K39" s="55">
        <f>IF('Accuracy Statement'!$E$5='Area Calc for Velocity value'!$D$38,'Area Calc for Velocity value'!H39,'Area Calc for Velocity value'!G39)</f>
        <v>0.2</v>
      </c>
      <c r="L39" s="17"/>
      <c r="M39" s="17"/>
    </row>
    <row r="40" spans="4:16" ht="13.5" thickBot="1">
      <c r="D40" s="41"/>
      <c r="E40" s="45" t="s">
        <v>53</v>
      </c>
      <c r="F40" s="46">
        <v>1</v>
      </c>
      <c r="G40" s="33">
        <v>10</v>
      </c>
      <c r="H40" s="9">
        <v>0.4</v>
      </c>
      <c r="I40" s="59" t="s">
        <v>5</v>
      </c>
      <c r="J40" s="48" t="s">
        <v>87</v>
      </c>
      <c r="K40" s="55">
        <f>IF('Accuracy Statement'!$E$5='Area Calc for Velocity value'!$D$38,'Area Calc for Velocity value'!H40,'Area Calc for Velocity value'!G40)</f>
        <v>0.4</v>
      </c>
      <c r="L40" s="17"/>
      <c r="M40" s="17"/>
    </row>
    <row r="41" spans="4:16" ht="23.25">
      <c r="D41" s="35"/>
      <c r="E41" s="9" t="s">
        <v>23</v>
      </c>
      <c r="F41" s="46">
        <v>1</v>
      </c>
      <c r="G41" s="33">
        <v>15</v>
      </c>
      <c r="H41" s="9">
        <v>0.5</v>
      </c>
      <c r="I41" s="59" t="s">
        <v>6</v>
      </c>
      <c r="J41" s="47" t="s">
        <v>88</v>
      </c>
      <c r="K41" s="62">
        <f>IF('Accuracy Statement'!$E$5='Area Calc for Velocity value'!$D$38,'Area Calc for Velocity value'!H41,'Area Calc for Velocity value'!G41)</f>
        <v>0.5</v>
      </c>
      <c r="L41" s="182" t="s">
        <v>64</v>
      </c>
      <c r="M41" s="17"/>
    </row>
    <row r="42" spans="4:16" ht="23.25">
      <c r="D42" s="35"/>
      <c r="E42" s="9" t="s">
        <v>24</v>
      </c>
      <c r="F42" s="46">
        <v>1</v>
      </c>
      <c r="G42" s="33">
        <v>25</v>
      </c>
      <c r="H42" s="9">
        <v>1</v>
      </c>
      <c r="I42" s="59" t="s">
        <v>7</v>
      </c>
      <c r="J42" s="48" t="s">
        <v>95</v>
      </c>
      <c r="K42" s="62">
        <f>IF('Accuracy Statement'!$E$5='Area Calc for Velocity value'!$D$38,'Area Calc for Velocity value'!H42,'Area Calc for Velocity value'!G42)</f>
        <v>1</v>
      </c>
      <c r="L42" s="183"/>
      <c r="M42" s="17"/>
    </row>
    <row r="43" spans="4:16">
      <c r="D43" s="41"/>
      <c r="E43" s="41"/>
      <c r="F43" s="41"/>
      <c r="G43" s="33">
        <v>32</v>
      </c>
      <c r="H43" s="9">
        <v>1.25</v>
      </c>
      <c r="I43" s="59" t="s">
        <v>26</v>
      </c>
      <c r="J43" s="48" t="s">
        <v>42</v>
      </c>
      <c r="K43" s="62">
        <f>IF('Accuracy Statement'!$E$5='Area Calc for Velocity value'!$D$38,'Area Calc for Velocity value'!H43,'Area Calc for Velocity value'!G43)</f>
        <v>1.25</v>
      </c>
      <c r="L43" s="183"/>
      <c r="M43" s="17"/>
    </row>
    <row r="44" spans="4:16">
      <c r="D44" s="41"/>
      <c r="E44" s="41"/>
      <c r="F44" s="41"/>
      <c r="G44" s="33">
        <v>40</v>
      </c>
      <c r="H44" s="9">
        <v>1.5</v>
      </c>
      <c r="I44" s="59" t="s">
        <v>27</v>
      </c>
      <c r="J44" s="48" t="s">
        <v>77</v>
      </c>
      <c r="K44" s="62">
        <f>IF('Accuracy Statement'!$E$5='Area Calc for Velocity value'!$D$38,'Area Calc for Velocity value'!H44,'Area Calc for Velocity value'!G44)</f>
        <v>1.5</v>
      </c>
      <c r="L44" s="183"/>
      <c r="M44" s="17"/>
    </row>
    <row r="45" spans="4:16">
      <c r="D45" s="41"/>
      <c r="E45" s="41"/>
      <c r="F45" s="41"/>
      <c r="G45" s="33">
        <v>50</v>
      </c>
      <c r="H45" s="9">
        <v>2</v>
      </c>
      <c r="I45" s="59" t="s">
        <v>61</v>
      </c>
      <c r="J45" s="48" t="s">
        <v>43</v>
      </c>
      <c r="K45" s="62">
        <f>IF('Accuracy Statement'!$E$5='Area Calc for Velocity value'!$D$38,'Area Calc for Velocity value'!H45,'Area Calc for Velocity value'!G45)</f>
        <v>2</v>
      </c>
      <c r="L45" s="183"/>
      <c r="M45" s="17"/>
    </row>
    <row r="46" spans="4:16">
      <c r="D46" s="41"/>
      <c r="E46" s="41"/>
      <c r="F46" s="41"/>
      <c r="G46" s="33">
        <v>65</v>
      </c>
      <c r="H46" s="9">
        <v>2.5</v>
      </c>
      <c r="I46" s="59" t="s">
        <v>8</v>
      </c>
      <c r="J46" s="48" t="s">
        <v>44</v>
      </c>
      <c r="K46" s="62">
        <f>IF('Accuracy Statement'!$E$5='Area Calc for Velocity value'!$D$38,'Area Calc for Velocity value'!H46,'Area Calc for Velocity value'!G46)</f>
        <v>2.5</v>
      </c>
      <c r="L46" s="183"/>
      <c r="M46" s="17"/>
    </row>
    <row r="47" spans="4:16">
      <c r="D47" s="41"/>
      <c r="E47" s="41"/>
      <c r="F47" s="41"/>
      <c r="G47" s="33">
        <v>80</v>
      </c>
      <c r="H47" s="9">
        <v>3</v>
      </c>
      <c r="I47" s="50"/>
      <c r="J47" s="48" t="s">
        <v>37</v>
      </c>
      <c r="K47" s="62">
        <f>IF('Accuracy Statement'!$E$5='Area Calc for Velocity value'!$D$38,'Area Calc for Velocity value'!H47,'Area Calc for Velocity value'!G47)</f>
        <v>3</v>
      </c>
      <c r="L47" s="183"/>
      <c r="M47" s="17"/>
    </row>
    <row r="48" spans="4:16">
      <c r="D48" s="41"/>
      <c r="E48" s="41"/>
      <c r="F48" s="41"/>
      <c r="G48" s="33">
        <v>100</v>
      </c>
      <c r="H48" s="9">
        <v>4</v>
      </c>
      <c r="I48" s="50"/>
      <c r="J48" s="48" t="s">
        <v>38</v>
      </c>
      <c r="K48" s="62">
        <f>IF('Accuracy Statement'!$E$5='Area Calc for Velocity value'!$D$38,'Area Calc for Velocity value'!H48,'Area Calc for Velocity value'!G48)</f>
        <v>4</v>
      </c>
      <c r="L48" s="183"/>
      <c r="M48" s="17"/>
    </row>
    <row r="49" spans="4:13">
      <c r="D49" s="41"/>
      <c r="E49" s="41"/>
      <c r="F49" s="41"/>
      <c r="G49" s="33">
        <v>125</v>
      </c>
      <c r="H49" s="9">
        <v>5</v>
      </c>
      <c r="I49" s="50"/>
      <c r="J49" s="48" t="s">
        <v>89</v>
      </c>
      <c r="K49" s="62">
        <f>IF('Accuracy Statement'!$E$5='Area Calc for Velocity value'!$D$38,'Area Calc for Velocity value'!H49,'Area Calc for Velocity value'!G49)</f>
        <v>5</v>
      </c>
      <c r="L49" s="183"/>
      <c r="M49" s="17"/>
    </row>
    <row r="50" spans="4:13">
      <c r="D50" s="41"/>
      <c r="E50" s="41"/>
      <c r="F50" s="41"/>
      <c r="G50" s="33">
        <v>150</v>
      </c>
      <c r="H50" s="9">
        <v>6</v>
      </c>
      <c r="I50" s="50"/>
      <c r="J50" s="48" t="s">
        <v>90</v>
      </c>
      <c r="K50" s="62">
        <f>IF('Accuracy Statement'!$E$5='Area Calc for Velocity value'!$D$38,'Area Calc for Velocity value'!H50,'Area Calc for Velocity value'!G50)</f>
        <v>6</v>
      </c>
      <c r="L50" s="183"/>
      <c r="M50" s="17"/>
    </row>
    <row r="51" spans="4:13">
      <c r="D51" s="41"/>
      <c r="E51" s="41"/>
      <c r="F51" s="41"/>
      <c r="G51" s="33">
        <v>200</v>
      </c>
      <c r="H51" s="9">
        <v>8</v>
      </c>
      <c r="I51" s="50"/>
      <c r="J51" s="48" t="s">
        <v>91</v>
      </c>
      <c r="K51" s="62">
        <f>IF('Accuracy Statement'!$E$5='Area Calc for Velocity value'!$D$38,'Area Calc for Velocity value'!H51,'Area Calc for Velocity value'!G51)</f>
        <v>8</v>
      </c>
      <c r="L51" s="183"/>
      <c r="M51" s="17"/>
    </row>
    <row r="52" spans="4:13">
      <c r="D52" s="41"/>
      <c r="E52" s="41"/>
      <c r="F52" s="41"/>
      <c r="G52" s="33">
        <v>250</v>
      </c>
      <c r="H52" s="9">
        <v>10</v>
      </c>
      <c r="I52" s="50"/>
      <c r="J52" s="48" t="s">
        <v>79</v>
      </c>
      <c r="K52" s="62">
        <f>IF('Accuracy Statement'!$E$5='Area Calc for Velocity value'!$D$38,'Area Calc for Velocity value'!H52,'Area Calc for Velocity value'!G52)</f>
        <v>10</v>
      </c>
      <c r="L52" s="183"/>
      <c r="M52" s="17"/>
    </row>
    <row r="53" spans="4:13">
      <c r="D53" s="41"/>
      <c r="E53" s="41"/>
      <c r="F53" s="41"/>
      <c r="G53" s="33">
        <v>300</v>
      </c>
      <c r="H53" s="9">
        <v>12</v>
      </c>
      <c r="I53" s="50"/>
      <c r="K53" s="62">
        <f>IF('Accuracy Statement'!$E$5='Area Calc for Velocity value'!$D$38,'Area Calc for Velocity value'!H53,'Area Calc for Velocity value'!G53)</f>
        <v>12</v>
      </c>
      <c r="L53" s="183"/>
      <c r="M53" s="17"/>
    </row>
    <row r="54" spans="4:13">
      <c r="D54" s="41"/>
      <c r="E54" s="41"/>
      <c r="F54" s="41"/>
      <c r="G54" s="33">
        <v>350</v>
      </c>
      <c r="H54" s="9">
        <v>14</v>
      </c>
      <c r="I54" s="50"/>
      <c r="J54" s="50"/>
      <c r="K54" s="62">
        <f>IF('Accuracy Statement'!$E$5='Area Calc for Velocity value'!$D$38,'Area Calc for Velocity value'!H54,'Area Calc for Velocity value'!G54)</f>
        <v>14</v>
      </c>
      <c r="L54" s="183"/>
      <c r="M54" s="17"/>
    </row>
    <row r="55" spans="4:13" ht="13.5" thickBot="1">
      <c r="D55" s="41"/>
      <c r="E55" s="41"/>
      <c r="F55" s="41"/>
      <c r="G55" s="33">
        <v>400</v>
      </c>
      <c r="H55" s="9">
        <v>16</v>
      </c>
      <c r="I55" s="50"/>
      <c r="J55" s="50"/>
      <c r="K55" s="62">
        <f>IF('Accuracy Statement'!$E$5='Area Calc for Velocity value'!$D$38,'Area Calc for Velocity value'!H55,'Area Calc for Velocity value'!G55)</f>
        <v>16</v>
      </c>
      <c r="L55" s="184"/>
      <c r="M55" s="17"/>
    </row>
    <row r="56" spans="4:13">
      <c r="D56" s="41"/>
      <c r="E56" s="41"/>
      <c r="F56" s="41"/>
      <c r="G56" s="33">
        <v>450</v>
      </c>
      <c r="H56" s="9">
        <v>18</v>
      </c>
      <c r="I56" s="50"/>
      <c r="J56" s="50"/>
      <c r="K56" s="55">
        <f>IF('Accuracy Statement'!$E$5='Area Calc for Velocity value'!$D$38,'Area Calc for Velocity value'!H56,'Area Calc for Velocity value'!G56)</f>
        <v>18</v>
      </c>
      <c r="M56" s="17"/>
    </row>
    <row r="57" spans="4:13">
      <c r="D57" s="41"/>
      <c r="E57" s="41"/>
      <c r="F57" s="41"/>
      <c r="G57" s="33">
        <v>500</v>
      </c>
      <c r="H57" s="9">
        <v>20</v>
      </c>
      <c r="I57" s="50"/>
      <c r="J57" s="50"/>
      <c r="K57" s="55">
        <f>IF('Accuracy Statement'!$E$5='Area Calc for Velocity value'!$D$38,'Area Calc for Velocity value'!H57,'Area Calc for Velocity value'!G57)</f>
        <v>20</v>
      </c>
      <c r="L57" s="17"/>
      <c r="M57" s="17"/>
    </row>
    <row r="58" spans="4:13">
      <c r="D58" s="41"/>
      <c r="E58" s="41"/>
      <c r="F58" s="41"/>
      <c r="G58" s="33">
        <v>600</v>
      </c>
      <c r="H58" s="9">
        <v>24</v>
      </c>
      <c r="I58" s="50"/>
      <c r="J58" s="50"/>
      <c r="K58" s="55">
        <f>IF('Accuracy Statement'!$E$5='Area Calc for Velocity value'!$D$38,'Area Calc for Velocity value'!H58,'Area Calc for Velocity value'!G58)</f>
        <v>24</v>
      </c>
      <c r="L58" s="17"/>
      <c r="M58" s="17"/>
    </row>
    <row r="59" spans="4:13">
      <c r="D59" s="41"/>
      <c r="E59" s="41"/>
      <c r="F59" s="41"/>
      <c r="G59" s="33">
        <v>700</v>
      </c>
      <c r="H59" s="9">
        <v>28</v>
      </c>
      <c r="I59" s="50"/>
      <c r="J59" s="50"/>
      <c r="K59" s="55">
        <f>IF('Accuracy Statement'!$E$5='Area Calc for Velocity value'!$D$38,'Area Calc for Velocity value'!H59,'Area Calc for Velocity value'!G59)</f>
        <v>28</v>
      </c>
      <c r="L59" s="17"/>
      <c r="M59" s="17"/>
    </row>
    <row r="60" spans="4:13">
      <c r="D60" s="41"/>
      <c r="E60" s="41"/>
      <c r="F60" s="41"/>
      <c r="G60" s="33">
        <v>800</v>
      </c>
      <c r="H60" s="9">
        <v>32</v>
      </c>
      <c r="I60" s="50"/>
      <c r="J60" s="50"/>
      <c r="K60" s="55">
        <f>IF('Accuracy Statement'!$E$5='Area Calc for Velocity value'!$D$38,'Area Calc for Velocity value'!H60,'Area Calc for Velocity value'!G60)</f>
        <v>32</v>
      </c>
      <c r="L60" s="17"/>
      <c r="M60" s="17"/>
    </row>
    <row r="61" spans="4:13">
      <c r="D61" s="41"/>
      <c r="E61" s="41"/>
      <c r="F61" s="41"/>
      <c r="G61" s="33">
        <v>900</v>
      </c>
      <c r="H61" s="9">
        <v>36</v>
      </c>
      <c r="I61" s="50"/>
      <c r="J61" s="50"/>
      <c r="K61" s="55">
        <f>IF('Accuracy Statement'!$E$5='Area Calc for Velocity value'!$D$38,'Area Calc for Velocity value'!H61,'Area Calc for Velocity value'!G61)</f>
        <v>36</v>
      </c>
      <c r="L61" s="17"/>
      <c r="M61" s="17"/>
    </row>
    <row r="62" spans="4:13">
      <c r="D62" s="41"/>
      <c r="E62" s="41"/>
      <c r="F62" s="41"/>
      <c r="G62" s="33">
        <v>1000</v>
      </c>
      <c r="H62" s="9">
        <v>40</v>
      </c>
      <c r="I62" s="50"/>
      <c r="J62" s="50"/>
      <c r="K62" s="55">
        <f>IF('Accuracy Statement'!$E$5='Area Calc for Velocity value'!$D$38,'Area Calc for Velocity value'!H62,'Area Calc for Velocity value'!G62)</f>
        <v>40</v>
      </c>
      <c r="M62" s="17"/>
    </row>
    <row r="63" spans="4:13" ht="13.5" thickBot="1">
      <c r="J63" s="50"/>
    </row>
    <row r="64" spans="4:13" ht="13.5" thickBot="1">
      <c r="I64" s="158"/>
      <c r="J64" s="50"/>
      <c r="K64" s="158"/>
    </row>
    <row r="65" spans="4:12">
      <c r="J65" s="50"/>
      <c r="K65" s="50"/>
      <c r="L65" s="50"/>
    </row>
    <row r="66" spans="4:12" ht="13.5" thickBot="1">
      <c r="J66" s="50"/>
    </row>
    <row r="67" spans="4:12" ht="13.5" thickBot="1">
      <c r="D67" t="s">
        <v>92</v>
      </c>
      <c r="J67" s="30" t="s">
        <v>90</v>
      </c>
    </row>
    <row r="68" spans="4:12" ht="14.25">
      <c r="D68" s="7" t="s">
        <v>30</v>
      </c>
      <c r="E68" s="7" t="s">
        <v>10</v>
      </c>
      <c r="F68" s="162" t="s">
        <v>93</v>
      </c>
      <c r="J68" s="50"/>
    </row>
    <row r="69" spans="4:12">
      <c r="D69" s="9">
        <v>0.5</v>
      </c>
      <c r="E69" s="9">
        <v>15</v>
      </c>
      <c r="F69" s="162">
        <v>6</v>
      </c>
    </row>
    <row r="70" spans="4:12">
      <c r="D70" s="9">
        <v>1</v>
      </c>
      <c r="E70" s="9">
        <v>25</v>
      </c>
      <c r="F70" s="162">
        <v>12</v>
      </c>
    </row>
    <row r="71" spans="4:12">
      <c r="D71" s="9">
        <v>1.25</v>
      </c>
      <c r="E71" s="9">
        <v>32</v>
      </c>
      <c r="F71" s="162">
        <v>24</v>
      </c>
    </row>
    <row r="72" spans="4:12">
      <c r="D72" s="9">
        <v>1.5</v>
      </c>
      <c r="E72" s="9">
        <v>40</v>
      </c>
      <c r="F72" s="162">
        <v>36</v>
      </c>
    </row>
    <row r="73" spans="4:12">
      <c r="D73" s="9">
        <v>2</v>
      </c>
      <c r="E73" s="9">
        <v>50</v>
      </c>
      <c r="F73" s="162">
        <v>60</v>
      </c>
    </row>
    <row r="74" spans="4:12">
      <c r="D74" s="9">
        <v>2.5</v>
      </c>
      <c r="E74" s="9">
        <v>65</v>
      </c>
      <c r="F74" s="162">
        <v>120</v>
      </c>
    </row>
    <row r="75" spans="4:12">
      <c r="D75" s="9">
        <v>3</v>
      </c>
      <c r="E75" s="9">
        <v>80</v>
      </c>
      <c r="F75" s="162">
        <v>180</v>
      </c>
    </row>
    <row r="76" spans="4:12">
      <c r="D76" s="9">
        <v>4</v>
      </c>
      <c r="E76" s="9">
        <v>100</v>
      </c>
      <c r="F76" s="162">
        <v>240</v>
      </c>
    </row>
    <row r="77" spans="4:12">
      <c r="D77" s="9">
        <v>5</v>
      </c>
      <c r="E77" s="9">
        <v>125</v>
      </c>
      <c r="F77" s="162">
        <v>420</v>
      </c>
    </row>
    <row r="78" spans="4:12">
      <c r="D78" s="9">
        <v>6</v>
      </c>
      <c r="E78" s="9">
        <v>150</v>
      </c>
      <c r="F78" s="162">
        <v>600</v>
      </c>
    </row>
    <row r="79" spans="4:12">
      <c r="D79" s="9">
        <v>8</v>
      </c>
      <c r="E79" s="9">
        <v>200</v>
      </c>
      <c r="F79" s="162">
        <v>1080</v>
      </c>
    </row>
    <row r="80" spans="4:12">
      <c r="D80" s="9">
        <v>10</v>
      </c>
      <c r="E80" s="9">
        <v>250</v>
      </c>
      <c r="F80" s="162">
        <v>1800</v>
      </c>
    </row>
    <row r="81" spans="4:6">
      <c r="D81" s="9">
        <v>12</v>
      </c>
      <c r="E81" s="9">
        <v>300</v>
      </c>
      <c r="F81" s="162">
        <v>2400</v>
      </c>
    </row>
    <row r="82" spans="4:6">
      <c r="D82" s="9">
        <v>14</v>
      </c>
      <c r="E82" s="9">
        <v>350</v>
      </c>
      <c r="F82" s="162">
        <v>3300</v>
      </c>
    </row>
    <row r="83" spans="4:6">
      <c r="D83" s="9">
        <v>16</v>
      </c>
      <c r="E83" s="9">
        <v>400</v>
      </c>
      <c r="F83" s="162">
        <v>4500</v>
      </c>
    </row>
  </sheetData>
  <sheetProtection selectLockedCells="1"/>
  <mergeCells count="3">
    <mergeCell ref="D32:M32"/>
    <mergeCell ref="D35:M35"/>
    <mergeCell ref="L41:L55"/>
  </mergeCells>
  <phoneticPr fontId="14"/>
  <conditionalFormatting sqref="E1">
    <cfRule type="cellIs" dxfId="6" priority="2" stopIfTrue="1" operator="greaterThan">
      <formula>32.81</formula>
    </cfRule>
  </conditionalFormatting>
  <printOptions horizontalCentered="1" verticalCentered="1"/>
  <pageMargins left="0.25" right="0.25" top="0.75" bottom="0.75" header="0.3" footer="0.3"/>
  <pageSetup paperSize="9" scale="61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77"/>
  <sheetViews>
    <sheetView topLeftCell="AA1" workbookViewId="0">
      <selection activeCell="AH65" sqref="AH65"/>
    </sheetView>
  </sheetViews>
  <sheetFormatPr defaultRowHeight="12.75"/>
  <cols>
    <col min="2" max="2" width="16.28515625" customWidth="1"/>
    <col min="3" max="3" width="17.42578125" customWidth="1"/>
    <col min="4" max="4" width="14.28515625" customWidth="1"/>
    <col min="5" max="8" width="18.42578125" style="41" customWidth="1"/>
    <col min="9" max="10" width="19.5703125" style="41" customWidth="1"/>
    <col min="11" max="11" width="16.140625" customWidth="1"/>
    <col min="12" max="13" width="17.5703125" hidden="1" customWidth="1"/>
    <col min="14" max="14" width="17.5703125" style="41" customWidth="1"/>
    <col min="15" max="18" width="18.42578125" style="41" customWidth="1"/>
    <col min="19" max="19" width="16.140625" customWidth="1"/>
    <col min="20" max="21" width="17.5703125" hidden="1" customWidth="1"/>
    <col min="22" max="22" width="17.5703125" style="41" customWidth="1"/>
    <col min="23" max="24" width="19.5703125" style="41" customWidth="1"/>
    <col min="26" max="26" width="19" style="29" customWidth="1"/>
    <col min="27" max="27" width="24" bestFit="1" customWidth="1"/>
    <col min="28" max="28" width="21.42578125" customWidth="1"/>
    <col min="29" max="29" width="24" bestFit="1" customWidth="1"/>
    <col min="30" max="30" width="21.42578125" customWidth="1"/>
    <col min="31" max="31" width="24" bestFit="1" customWidth="1"/>
    <col min="32" max="42" width="21.42578125" customWidth="1"/>
  </cols>
  <sheetData>
    <row r="1" spans="2:48" ht="13.5" thickBot="1">
      <c r="B1" s="24"/>
      <c r="N1" s="40"/>
      <c r="V1" s="40"/>
    </row>
    <row r="2" spans="2:48" ht="13.5" thickBot="1">
      <c r="C2" s="34"/>
      <c r="E2" s="185" t="s">
        <v>39</v>
      </c>
      <c r="F2" s="187"/>
      <c r="G2" s="187"/>
      <c r="H2" s="187"/>
      <c r="I2" s="187"/>
      <c r="J2" s="186"/>
      <c r="K2" s="172" t="s">
        <v>45</v>
      </c>
      <c r="L2" s="178"/>
      <c r="M2" s="178"/>
      <c r="N2" s="173"/>
      <c r="O2" s="185" t="s">
        <v>82</v>
      </c>
      <c r="P2" s="187"/>
      <c r="Q2" s="187"/>
      <c r="R2" s="187"/>
      <c r="S2" s="172" t="s">
        <v>81</v>
      </c>
      <c r="T2" s="178"/>
      <c r="U2" s="178"/>
      <c r="V2" s="173"/>
      <c r="W2" s="185" t="s">
        <v>83</v>
      </c>
      <c r="X2" s="186"/>
    </row>
    <row r="3" spans="2:48" ht="27.75" customHeight="1" thickBot="1">
      <c r="B3" s="82" t="s">
        <v>48</v>
      </c>
      <c r="C3" s="83">
        <f>'Area Calc for Velocity value'!P21</f>
        <v>50</v>
      </c>
      <c r="D3" s="43"/>
      <c r="E3" s="66" t="s">
        <v>70</v>
      </c>
      <c r="F3" s="74" t="s">
        <v>23</v>
      </c>
      <c r="G3" s="66" t="s">
        <v>24</v>
      </c>
      <c r="H3" s="66" t="s">
        <v>72</v>
      </c>
      <c r="I3" s="68" t="s">
        <v>68</v>
      </c>
      <c r="J3" s="112" t="s">
        <v>78</v>
      </c>
      <c r="K3" s="25" t="s">
        <v>15</v>
      </c>
      <c r="L3" s="25" t="s">
        <v>16</v>
      </c>
      <c r="M3" s="25" t="s">
        <v>16</v>
      </c>
      <c r="N3" s="114" t="s">
        <v>74</v>
      </c>
      <c r="O3" s="66" t="s">
        <v>70</v>
      </c>
      <c r="P3" s="74" t="s">
        <v>23</v>
      </c>
      <c r="Q3" s="66" t="s">
        <v>24</v>
      </c>
      <c r="R3" s="66" t="s">
        <v>85</v>
      </c>
      <c r="S3" s="25" t="s">
        <v>15</v>
      </c>
      <c r="T3" s="25" t="s">
        <v>16</v>
      </c>
      <c r="U3" s="25" t="s">
        <v>16</v>
      </c>
      <c r="V3" s="114" t="s">
        <v>74</v>
      </c>
      <c r="W3" s="68" t="s">
        <v>68</v>
      </c>
      <c r="X3" s="112" t="s">
        <v>78</v>
      </c>
      <c r="AA3" s="36" t="s">
        <v>46</v>
      </c>
      <c r="AB3" s="30" t="s">
        <v>47</v>
      </c>
      <c r="AC3" s="152" t="s">
        <v>87</v>
      </c>
      <c r="AD3" s="30" t="s">
        <v>88</v>
      </c>
      <c r="AE3" s="30" t="s">
        <v>95</v>
      </c>
      <c r="AF3" s="37" t="s">
        <v>37</v>
      </c>
      <c r="AG3" s="30" t="s">
        <v>38</v>
      </c>
      <c r="AH3" s="37" t="s">
        <v>42</v>
      </c>
      <c r="AI3" s="30" t="s">
        <v>77</v>
      </c>
      <c r="AJ3" s="37" t="s">
        <v>43</v>
      </c>
      <c r="AK3" s="30" t="s">
        <v>44</v>
      </c>
      <c r="AL3" s="158" t="s">
        <v>90</v>
      </c>
      <c r="AM3" s="30" t="s">
        <v>89</v>
      </c>
      <c r="AN3" s="158" t="s">
        <v>91</v>
      </c>
      <c r="AO3" s="30" t="s">
        <v>44</v>
      </c>
      <c r="AP3" s="30" t="s">
        <v>80</v>
      </c>
    </row>
    <row r="4" spans="2:48" ht="28.5" customHeight="1" thickBot="1">
      <c r="B4" s="64" t="s">
        <v>17</v>
      </c>
      <c r="C4" s="64" t="s">
        <v>18</v>
      </c>
      <c r="D4" s="64" t="s">
        <v>19</v>
      </c>
      <c r="E4" s="67" t="s">
        <v>66</v>
      </c>
      <c r="F4" s="75" t="s">
        <v>67</v>
      </c>
      <c r="G4" s="67" t="s">
        <v>71</v>
      </c>
      <c r="H4" s="67" t="s">
        <v>73</v>
      </c>
      <c r="I4" s="69" t="s">
        <v>67</v>
      </c>
      <c r="J4" s="113" t="s">
        <v>40</v>
      </c>
      <c r="K4" s="27" t="s">
        <v>41</v>
      </c>
      <c r="L4" s="26" t="s">
        <v>20</v>
      </c>
      <c r="M4" s="26" t="s">
        <v>21</v>
      </c>
      <c r="N4" s="121" t="s">
        <v>40</v>
      </c>
      <c r="O4" s="67" t="s">
        <v>66</v>
      </c>
      <c r="P4" s="75" t="s">
        <v>67</v>
      </c>
      <c r="Q4" s="67" t="s">
        <v>71</v>
      </c>
      <c r="R4" s="67" t="s">
        <v>73</v>
      </c>
      <c r="S4" s="27" t="s">
        <v>41</v>
      </c>
      <c r="T4" s="26" t="s">
        <v>20</v>
      </c>
      <c r="U4" s="26" t="s">
        <v>21</v>
      </c>
      <c r="V4" s="153" t="s">
        <v>84</v>
      </c>
      <c r="W4" s="69" t="s">
        <v>67</v>
      </c>
      <c r="X4" s="154" t="s">
        <v>86</v>
      </c>
      <c r="Z4" s="94" t="s">
        <v>76</v>
      </c>
      <c r="AA4" s="92" t="s">
        <v>22</v>
      </c>
      <c r="AB4" s="92" t="s">
        <v>22</v>
      </c>
      <c r="AC4" s="92" t="s">
        <v>22</v>
      </c>
      <c r="AD4" s="92" t="s">
        <v>22</v>
      </c>
      <c r="AE4" s="92" t="s">
        <v>22</v>
      </c>
      <c r="AF4" s="92" t="s">
        <v>22</v>
      </c>
      <c r="AG4" s="92" t="s">
        <v>22</v>
      </c>
      <c r="AH4" s="92" t="s">
        <v>22</v>
      </c>
      <c r="AI4" s="92" t="s">
        <v>22</v>
      </c>
      <c r="AJ4" s="92" t="s">
        <v>22</v>
      </c>
      <c r="AK4" s="92" t="s">
        <v>22</v>
      </c>
      <c r="AL4" s="168" t="s">
        <v>22</v>
      </c>
      <c r="AM4" s="92" t="s">
        <v>22</v>
      </c>
      <c r="AN4" s="92" t="s">
        <v>22</v>
      </c>
      <c r="AO4" s="92" t="s">
        <v>22</v>
      </c>
      <c r="AP4" s="92" t="s">
        <v>22</v>
      </c>
    </row>
    <row r="5" spans="2:48">
      <c r="B5" s="84">
        <v>100</v>
      </c>
      <c r="C5" s="85">
        <f>'Accuracy Statement'!D9</f>
        <v>3.5367682426505946</v>
      </c>
      <c r="D5" s="86">
        <f>C5*1000</f>
        <v>3536.7682426505949</v>
      </c>
      <c r="E5" s="78" t="str">
        <f t="shared" ref="E5:E50" si="0">IF(size&gt;15,"  #NA", IF(C5&gt;0.3,0.35,1/D5*100))</f>
        <v xml:space="preserve">  #NA</v>
      </c>
      <c r="F5" s="65">
        <f>IF('Area Calc for Velocity value'!$P$38=1,IF(C5&gt;0.15,0.35,0.5/D5*100)," #NA")</f>
        <v>0.35</v>
      </c>
      <c r="G5" s="65">
        <f t="shared" ref="G5:G50" si="1">IF(size&gt;200,"  #NA",IF(C5&gt;0.15,0.35,0.5/D5*100))</f>
        <v>0.35</v>
      </c>
      <c r="H5" s="115">
        <f>IF(size=15,E5,IF('Area Calc for Velocity value'!$P$38=3,G5,F5))</f>
        <v>0.35</v>
      </c>
      <c r="I5" s="65" t="str">
        <f>IF('Area Calc for Velocity value'!$P$38=2,IF(size&gt;=50,IF(C5&gt;0.3,0.35,1/D5*100), " #NA"),IF(AND('Area Calc for Velocity value'!$P$38=4,size&gt;=25),IF(C5&gt;0.3,0.35,1/D5*100),"#NA"))</f>
        <v>#NA</v>
      </c>
      <c r="J5" s="118">
        <f>IF(OR('Area Calc for Velocity value'!$P$38=3, 'Area Calc for Velocity value'!$P$38=1),H5,I5)</f>
        <v>0.35</v>
      </c>
      <c r="K5" s="81">
        <f>IF(AND(size&lt;=200,C5&gt;0.15),IF(C5&lt;1,0.18+0.2/D5*100,0.2),0.5/D5*100)</f>
        <v>0.2</v>
      </c>
      <c r="L5" s="76" t="e">
        <f>IF(AND(size&gt;=1,#REF!&gt;0.3),0.35,1/J5*100)</f>
        <v>#REF!</v>
      </c>
      <c r="M5" s="72" t="e">
        <f>IF(AND(size&gt;16,#REF!&gt;=1),0.35,IF(AND(size&gt;16,#REF!&gt;=0.3),(0.25+(1/J5*100)),1.75/J5*100))</f>
        <v>#REF!</v>
      </c>
      <c r="N5" s="155">
        <f>IF(size&lt;=15,"#N/A",IF(OR('Area Calc for Velocity value'!$P$38=2,'Area Calc for Velocity value'!$P$38=4),"#N/A",IF(size&gt;200," #NA", K5)))</f>
        <v>0.2</v>
      </c>
      <c r="O5" s="78" t="str">
        <f t="shared" ref="O5:O50" si="2">IF(size&gt;15,"  #NA", IF(C5&gt;0.3,0.3,1/D5*100))</f>
        <v xml:space="preserve">  #NA</v>
      </c>
      <c r="P5" s="78">
        <f>IF('Area Calc for Velocity value'!$P$38=1,IF(C5&gt;0.15,0.3,0.5/D5*100)," #NA")</f>
        <v>0.3</v>
      </c>
      <c r="Q5" s="78">
        <f t="shared" ref="Q5:Q50" si="3">IF(size&gt;200,"  #NA",IF(C5&gt;0.15,0.3,0.5/D5*100))</f>
        <v>0.3</v>
      </c>
      <c r="R5" s="115">
        <f>IF(size=15,O5,IF('Area Calc for Velocity value'!$P$38=3,Q5,P5))</f>
        <v>0.3</v>
      </c>
      <c r="S5" s="116">
        <f t="shared" ref="S5:S50" si="4">IF(AND(size&lt;=200,C5&gt;0.15),IF(C5&lt;1,0.18+0.2/D5*100,0.15),0.5/D5*100)</f>
        <v>0.15</v>
      </c>
      <c r="T5" s="76" t="e">
        <f>IF(AND(size&gt;=1,#REF!&gt;0.3),0.35,1/X5*100)</f>
        <v>#REF!</v>
      </c>
      <c r="U5" s="72" t="e">
        <f>IF(AND(size&gt;16,#REF!&gt;=1),0.35,IF(AND(size&gt;16,#REF!&gt;=0.3),(0.25+(1/X5*100)),1.75/X5*100))</f>
        <v>#REF!</v>
      </c>
      <c r="V5" s="155">
        <f>IF(size&lt;=15,"#N/A",IF(OR('Area Calc for Velocity value'!$P$38=2,'Area Calc for Velocity value'!$P$38=4),"#N/A",IF(size&gt;200," #NA", S5)))</f>
        <v>0.15</v>
      </c>
      <c r="W5" s="170">
        <f>IF('Area Calc for Velocity value'!$P$38=1,IF(size&gt;=25,IF(C5&gt;0.3,0.35,2/D5*100), " #NA"))</f>
        <v>0.35</v>
      </c>
      <c r="X5" s="159">
        <f>W5</f>
        <v>0.35</v>
      </c>
      <c r="Z5" s="95">
        <f>B5</f>
        <v>100</v>
      </c>
      <c r="AA5" s="103">
        <f>IF('Accuracy Statement'!$D$9&gt;10,"ERROR",J5)</f>
        <v>0.35</v>
      </c>
      <c r="AB5" s="98">
        <f>IF('Accuracy Statement'!$D$9&gt;10,"ERROR",N5)</f>
        <v>0.2</v>
      </c>
      <c r="AC5" s="104">
        <f>IF('Accuracy Statement'!$D$9&gt;10,"ERROR",R5)</f>
        <v>0.3</v>
      </c>
      <c r="AD5" s="98">
        <f>IF('Accuracy Statement'!$D$9&gt;10,"ERROR",V5)</f>
        <v>0.15</v>
      </c>
      <c r="AE5" s="103">
        <f>IF('Accuracy Statement'!$D$9&gt;10,"ERROR",X5)</f>
        <v>0.35</v>
      </c>
      <c r="AF5" s="106">
        <f>IF('Accuracy Statement'!$D$9&gt;10,"ERROR",0.5+(1/D5*100))</f>
        <v>0.52827440000000003</v>
      </c>
      <c r="AG5" s="98">
        <f>IF('Accuracy Statement'!$D$9&gt;10,"ERROR",0.2+(2/D5*100))</f>
        <v>0.25654880000000002</v>
      </c>
      <c r="AH5" s="106">
        <f>IF('Accuracy Statement'!$D$9&gt;10,"ERROR",IF(C5&lt;2,0.25+1/D5*100,0.25+1.5/D5*100))</f>
        <v>0.29241159999999999</v>
      </c>
      <c r="AI5" s="98">
        <f>IF('Accuracy Statement'!$D$9&gt;10,"ERROR",IF($C5&lt;4,0.15+1/$D5*100,0.18))</f>
        <v>0.1782744</v>
      </c>
      <c r="AJ5" s="109">
        <f>IF('Accuracy Statement'!$D$9&gt;10,"ERROR",0.3+1/D5*100)</f>
        <v>0.32827440000000002</v>
      </c>
      <c r="AK5" s="160">
        <f>IF('Accuracy Statement'!$D$9&gt;10,"ERROR",0.2+1/D5*100)</f>
        <v>0.22827440000000002</v>
      </c>
      <c r="AL5" s="110">
        <f>IF('Accuracy Statement'!$D$9&gt;10,"ERROR",0.3+(100*(0.0002*$AN$56)/(($C5/10)*$AN$56)))</f>
        <v>0.3565488</v>
      </c>
      <c r="AM5" s="167">
        <f>IF('Accuracy Statement'!$D$9&gt;10,"ERROR",0.4+(100*(0.0002*$AN$56)/(($C5/10)*$AN$56)))</f>
        <v>0.45654880000000003</v>
      </c>
      <c r="AN5" s="110">
        <f>IF('Accuracy Statement'!$D$9&gt;10,"ERROR",0.2+(100*(0.0002*$AN$56)/(($C5/10)*$AN$56)))</f>
        <v>0.25654880000000002</v>
      </c>
      <c r="AO5" s="99">
        <f>IF('Accuracy Statement'!$D$9&gt;10,"ERROR",0.2+1/F5*100)</f>
        <v>285.91428571428571</v>
      </c>
      <c r="AP5" s="109">
        <f>IF('Accuracy Statement'!$D$9&gt;10,"ERROR",IF(C5&lt;0.25, 2.5/D5*100, 0.5+(1.25/D5)*100))</f>
        <v>0.53534300000000001</v>
      </c>
      <c r="AQ5" s="24"/>
    </row>
    <row r="6" spans="2:48">
      <c r="B6" s="87">
        <v>97.5</v>
      </c>
      <c r="C6" s="2">
        <f t="shared" ref="C6:C50" si="5">B6/100*$C$5</f>
        <v>3.4483490365843297</v>
      </c>
      <c r="D6" s="88">
        <f t="shared" ref="D6:D50" si="6">C6*1000</f>
        <v>3448.3490365843295</v>
      </c>
      <c r="E6" s="79" t="str">
        <f t="shared" si="0"/>
        <v xml:space="preserve">  #NA</v>
      </c>
      <c r="F6" s="31">
        <f>IF('Area Calc for Velocity value'!$P$38=1,IF(C6&gt;0.15,0.35,0.5/D6*100)," #NA")</f>
        <v>0.35</v>
      </c>
      <c r="G6" s="31">
        <f t="shared" si="1"/>
        <v>0.35</v>
      </c>
      <c r="H6" s="116">
        <f>IF(size=15,E6,IF('Area Calc for Velocity value'!$P$38=3,G6,F6))</f>
        <v>0.35</v>
      </c>
      <c r="I6" s="31" t="str">
        <f>IF('Area Calc for Velocity value'!$P$38=2,IF(size&gt;=50,IF(C6&gt;0.3,0.35,1/D6*100), " #NA"),IF(AND('Area Calc for Velocity value'!$P$38=4,size&gt;=25),IF(C6&gt;0.3,0.35,1/D6*100),"#NA"))</f>
        <v>#NA</v>
      </c>
      <c r="J6" s="119">
        <f>IF(OR('Area Calc for Velocity value'!$P$38=3, 'Area Calc for Velocity value'!$P$38=1),H6,I6)</f>
        <v>0.35</v>
      </c>
      <c r="K6" s="79">
        <f t="shared" ref="K6:K50" si="7">IF(AND(size&lt;=200,C6&gt;0.15),IF(C6&lt;1,0.18+0.2/D6*100,0.2),0.5/D6*100)</f>
        <v>0.2</v>
      </c>
      <c r="L6" s="77" t="e">
        <f>IF(AND(size&gt;=1,#REF!&gt;0.3),0.35,1/J6*100)</f>
        <v>#REF!</v>
      </c>
      <c r="M6" s="73" t="e">
        <f>IF(AND(size&gt;16,#REF!&gt;=1),0.35,IF(AND(size&gt;16,#REF!&gt;=0.3),(0.25+(1/J6*100)),1.75/J6*100))</f>
        <v>#REF!</v>
      </c>
      <c r="N6" s="156">
        <f>IF(size&lt;=15,"#N/A",IF(OR('Area Calc for Velocity value'!$P$38=2,'Area Calc for Velocity value'!$P$38=4),"#N/A",IF(size&gt;200," #NA", K6)))</f>
        <v>0.2</v>
      </c>
      <c r="O6" s="78" t="str">
        <f t="shared" si="2"/>
        <v xml:space="preserve">  #NA</v>
      </c>
      <c r="P6" s="78">
        <f>IF('Area Calc for Velocity value'!$P$38=1,IF(C6&gt;0.15,0.3,0.5/D6*100)," #NA")</f>
        <v>0.3</v>
      </c>
      <c r="Q6" s="78">
        <f t="shared" si="3"/>
        <v>0.3</v>
      </c>
      <c r="R6" s="116">
        <f>IF(size=15,O6,IF('Area Calc for Velocity value'!$P$38=3,Q6,P6))</f>
        <v>0.3</v>
      </c>
      <c r="S6" s="116">
        <f t="shared" si="4"/>
        <v>0.15</v>
      </c>
      <c r="T6" s="77" t="e">
        <f>IF(AND(size&gt;=1,#REF!&gt;0.3),0.35,1/X6*100)</f>
        <v>#REF!</v>
      </c>
      <c r="U6" s="73" t="e">
        <f>IF(AND(size&gt;16,#REF!&gt;=1),0.35,IF(AND(size&gt;16,#REF!&gt;=0.3),(0.25+(1/X6*100)),1.75/X6*100))</f>
        <v>#REF!</v>
      </c>
      <c r="V6" s="156">
        <f>IF(size&lt;=15,"#N/A",IF(OR('Area Calc for Velocity value'!$P$38=2,'Area Calc for Velocity value'!$P$38=4),"#N/A",IF(size&gt;200," #NA", S6)))</f>
        <v>0.15</v>
      </c>
      <c r="W6" s="170">
        <f>IF('Area Calc for Velocity value'!$P$38=1,IF(size&gt;=25,IF(C6&gt;0.3,0.35,2/D6*100), " #NA"))</f>
        <v>0.35</v>
      </c>
      <c r="X6" s="159">
        <f t="shared" ref="X6:X50" si="8">W6</f>
        <v>0.35</v>
      </c>
      <c r="Z6" s="96">
        <f t="shared" ref="Z6:Z50" si="9">B6</f>
        <v>97.5</v>
      </c>
      <c r="AA6" s="104">
        <f>IF('Accuracy Statement'!$D$9&gt;10,"ERROR",J6)</f>
        <v>0.35</v>
      </c>
      <c r="AB6" s="1">
        <f>IF('Accuracy Statement'!$D$9&gt;10,"ERROR",N6)</f>
        <v>0.2</v>
      </c>
      <c r="AC6" s="104">
        <f>IF('Accuracy Statement'!$D$9&gt;10,"ERROR",R6)</f>
        <v>0.3</v>
      </c>
      <c r="AD6" s="1">
        <f>IF('Accuracy Statement'!$D$9&gt;10,"ERROR",V6)</f>
        <v>0.15</v>
      </c>
      <c r="AE6" s="104">
        <f>IF('Accuracy Statement'!$D$9&gt;10,"ERROR",X6)</f>
        <v>0.35</v>
      </c>
      <c r="AF6" s="107">
        <f>IF('Accuracy Statement'!$D$9&gt;10,"ERROR",0.5+(1/D6*100))</f>
        <v>0.52899938461538465</v>
      </c>
      <c r="AG6" s="1">
        <f>IF('Accuracy Statement'!$D$9&gt;10,"ERROR",0.2+(2/D6*100))</f>
        <v>0.25799876923076925</v>
      </c>
      <c r="AH6" s="107">
        <f>IF('Accuracy Statement'!$D$9&gt;10,"ERROR",IF(C6&lt;2,0.25+1/D6*100,0.25+1.5/D6*100))</f>
        <v>0.29349907692307692</v>
      </c>
      <c r="AI6" s="1">
        <f>IF('Accuracy Statement'!$D$9&gt;10,"ERROR",IF($C6&lt;4,0.15+1/$D6*100,0.18))</f>
        <v>0.17899938461538462</v>
      </c>
      <c r="AJ6" s="110">
        <f>IF('Accuracy Statement'!$D$9&gt;10,"ERROR",0.3+1/D6*100)</f>
        <v>0.32899938461538464</v>
      </c>
      <c r="AK6" s="73">
        <f>IF('Accuracy Statement'!$D$9&gt;10,"ERROR",0.2+1/D6*100)</f>
        <v>0.22899938461538463</v>
      </c>
      <c r="AL6" s="110">
        <f>IF('Accuracy Statement'!$D$9&gt;10,"ERROR",0.3+(100*(0.0002*$AN$56)/(($C6/10)*$AN$56)))</f>
        <v>0.35799876923076923</v>
      </c>
      <c r="AM6" s="167">
        <f>IF('Accuracy Statement'!$D$9&gt;10,"ERROR",0.4+(100*(0.0002*$AN$56)/(($C6/10)*$AN$56)))</f>
        <v>0.45799876923076926</v>
      </c>
      <c r="AN6" s="110">
        <f>IF('Accuracy Statement'!$D$9&gt;10,"ERROR",0.2+(100*(0.0002*$AN$56)/(($C6/10)*$AN$56)))</f>
        <v>0.25799876923076925</v>
      </c>
      <c r="AO6" s="100">
        <f>IF('Accuracy Statement'!$D$9&gt;10,"ERROR",0.2+1/F6*100)</f>
        <v>285.91428571428571</v>
      </c>
      <c r="AP6" s="110">
        <f>IF('Accuracy Statement'!$D$9&gt;10,"ERROR",IF(C6&lt;0.25, 2.5/D6*100, 0.5+(1.25/D6)*100))</f>
        <v>0.53624923076923081</v>
      </c>
      <c r="AQ6" s="24"/>
    </row>
    <row r="7" spans="2:48">
      <c r="B7" s="87">
        <v>95</v>
      </c>
      <c r="C7" s="2">
        <f t="shared" si="5"/>
        <v>3.3599298305180647</v>
      </c>
      <c r="D7" s="88">
        <f t="shared" si="6"/>
        <v>3359.9298305180646</v>
      </c>
      <c r="E7" s="79" t="str">
        <f t="shared" si="0"/>
        <v xml:space="preserve">  #NA</v>
      </c>
      <c r="F7" s="31">
        <f>IF('Area Calc for Velocity value'!$P$38=1,IF(C7&gt;0.15,0.35,0.5/D7*100)," #NA")</f>
        <v>0.35</v>
      </c>
      <c r="G7" s="31">
        <f t="shared" si="1"/>
        <v>0.35</v>
      </c>
      <c r="H7" s="116">
        <f>IF(size=15,E7,IF('Area Calc for Velocity value'!$P$38=3,G7,F7))</f>
        <v>0.35</v>
      </c>
      <c r="I7" s="31" t="str">
        <f>IF('Area Calc for Velocity value'!$P$38=2,IF(size&gt;=50,IF(C7&gt;0.3,0.35,1/D7*100), " #NA"),IF(AND('Area Calc for Velocity value'!$P$38=4,size&gt;=25),IF(C7&gt;0.3,0.35,1/D7*100),"#NA"))</f>
        <v>#NA</v>
      </c>
      <c r="J7" s="119">
        <f>IF(OR('Area Calc for Velocity value'!$P$38=3, 'Area Calc for Velocity value'!$P$38=1),H7,I7)</f>
        <v>0.35</v>
      </c>
      <c r="K7" s="79">
        <f t="shared" si="7"/>
        <v>0.2</v>
      </c>
      <c r="L7" s="77" t="e">
        <f>IF(AND(size&gt;=1,#REF!&gt;0.3),0.35,1/J7*100)</f>
        <v>#REF!</v>
      </c>
      <c r="M7" s="73" t="e">
        <f>IF(AND(size&gt;16,#REF!&gt;=1),0.35,IF(AND(size&gt;16,#REF!&gt;=0.3),(0.25+(1/J7*100)),1.75/J7*100))</f>
        <v>#REF!</v>
      </c>
      <c r="N7" s="156">
        <f>IF(size&lt;=15,"#N/A",IF(OR('Area Calc for Velocity value'!$P$38=2,'Area Calc for Velocity value'!$P$38=4),"#N/A",IF(size&gt;200," #NA", K7)))</f>
        <v>0.2</v>
      </c>
      <c r="O7" s="78" t="str">
        <f t="shared" si="2"/>
        <v xml:space="preserve">  #NA</v>
      </c>
      <c r="P7" s="78">
        <f>IF('Area Calc for Velocity value'!$P$38=1,IF(C7&gt;0.15,0.3,0.5/D7*100)," #NA")</f>
        <v>0.3</v>
      </c>
      <c r="Q7" s="78">
        <f t="shared" si="3"/>
        <v>0.3</v>
      </c>
      <c r="R7" s="116">
        <f>IF(size=15,O7,IF('Area Calc for Velocity value'!$P$38=3,Q7,P7))</f>
        <v>0.3</v>
      </c>
      <c r="S7" s="116">
        <f t="shared" si="4"/>
        <v>0.15</v>
      </c>
      <c r="T7" s="77" t="e">
        <f>IF(AND(size&gt;=1,#REF!&gt;0.3),0.35,1/X7*100)</f>
        <v>#REF!</v>
      </c>
      <c r="U7" s="73" t="e">
        <f>IF(AND(size&gt;16,#REF!&gt;=1),0.35,IF(AND(size&gt;16,#REF!&gt;=0.3),(0.25+(1/X7*100)),1.75/X7*100))</f>
        <v>#REF!</v>
      </c>
      <c r="V7" s="156">
        <f>IF(size&lt;=15,"#N/A",IF(OR('Area Calc for Velocity value'!$P$38=2,'Area Calc for Velocity value'!$P$38=4),"#N/A",IF(size&gt;200," #NA", S7)))</f>
        <v>0.15</v>
      </c>
      <c r="W7" s="170">
        <f>IF('Area Calc for Velocity value'!$P$38=1,IF(size&gt;=25,IF(C7&gt;0.3,0.35,2/D7*100), " #NA"))</f>
        <v>0.35</v>
      </c>
      <c r="X7" s="159">
        <f t="shared" si="8"/>
        <v>0.35</v>
      </c>
      <c r="Z7" s="96">
        <f t="shared" si="9"/>
        <v>95</v>
      </c>
      <c r="AA7" s="104">
        <f>IF('Accuracy Statement'!$D$9&gt;10,"ERROR",J7)</f>
        <v>0.35</v>
      </c>
      <c r="AB7" s="1">
        <f>IF('Accuracy Statement'!$D$9&gt;10,"ERROR",N7)</f>
        <v>0.2</v>
      </c>
      <c r="AC7" s="104">
        <f>IF('Accuracy Statement'!$D$9&gt;10,"ERROR",R7)</f>
        <v>0.3</v>
      </c>
      <c r="AD7" s="1">
        <f>IF('Accuracy Statement'!$D$9&gt;10,"ERROR",V7)</f>
        <v>0.15</v>
      </c>
      <c r="AE7" s="104">
        <f>IF('Accuracy Statement'!$D$9&gt;10,"ERROR",X7)</f>
        <v>0.35</v>
      </c>
      <c r="AF7" s="107">
        <f>IF('Accuracy Statement'!$D$9&gt;10,"ERROR",0.5+(1/D7*100))</f>
        <v>0.52976252631578946</v>
      </c>
      <c r="AG7" s="1">
        <f>IF('Accuracy Statement'!$D$9&gt;10,"ERROR",0.2+(2/D7*100))</f>
        <v>0.25952505263157899</v>
      </c>
      <c r="AH7" s="107">
        <f>IF('Accuracy Statement'!$D$9&gt;10,"ERROR",IF(C7&lt;2,0.25+1/D7*100,0.25+1.5/D7*100))</f>
        <v>0.29464378947368425</v>
      </c>
      <c r="AI7" s="1">
        <f>IF('Accuracy Statement'!$D$9&gt;10,"ERROR",IF($C7&lt;4,0.15+1/$D7*100,0.18))</f>
        <v>0.17976252631578948</v>
      </c>
      <c r="AJ7" s="110">
        <f>IF('Accuracy Statement'!$D$9&gt;10,"ERROR",0.3+1/D7*100)</f>
        <v>0.32976252631578945</v>
      </c>
      <c r="AK7" s="73">
        <f>IF('Accuracy Statement'!$D$9&gt;10,"ERROR",0.2+1/D7*100)</f>
        <v>0.2297625263157895</v>
      </c>
      <c r="AL7" s="110">
        <f>IF('Accuracy Statement'!$D$9&gt;10,"ERROR",0.3+(100*(0.0002*$AN$56)/(($C7/10)*$AN$56)))</f>
        <v>0.35952505263157897</v>
      </c>
      <c r="AM7" s="167">
        <f>IF('Accuracy Statement'!$D$9&gt;10,"ERROR",0.4+(100*(0.0002*$AN$56)/(($C7/10)*$AN$56)))</f>
        <v>0.459525052631579</v>
      </c>
      <c r="AN7" s="110">
        <f>IF('Accuracy Statement'!$D$9&gt;10,"ERROR",0.2+(100*(0.0002*$AN$56)/(($C7/10)*$AN$56)))</f>
        <v>0.25952505263157899</v>
      </c>
      <c r="AO7" s="100">
        <f>IF('Accuracy Statement'!$D$9&gt;10,"ERROR",0.2+1/F7*100)</f>
        <v>285.91428571428571</v>
      </c>
      <c r="AP7" s="110">
        <f>IF('Accuracy Statement'!$D$9&gt;10,"ERROR",IF(C7&lt;0.25, 2.5/D7*100, 0.5+(1.25/D7)*100))</f>
        <v>0.53720315789473683</v>
      </c>
      <c r="AQ7" s="24"/>
    </row>
    <row r="8" spans="2:48">
      <c r="B8" s="87">
        <v>92.5</v>
      </c>
      <c r="C8" s="2">
        <f t="shared" si="5"/>
        <v>3.2715106244518002</v>
      </c>
      <c r="D8" s="88">
        <f t="shared" si="6"/>
        <v>3271.5106244518001</v>
      </c>
      <c r="E8" s="79" t="str">
        <f t="shared" si="0"/>
        <v xml:space="preserve">  #NA</v>
      </c>
      <c r="F8" s="31">
        <f>IF('Area Calc for Velocity value'!$P$38=1,IF(C8&gt;0.15,0.35,0.5/D8*100)," #NA")</f>
        <v>0.35</v>
      </c>
      <c r="G8" s="31">
        <f t="shared" si="1"/>
        <v>0.35</v>
      </c>
      <c r="H8" s="116">
        <f>IF(size=15,E8,IF('Area Calc for Velocity value'!$P$38=3,G8,F8))</f>
        <v>0.35</v>
      </c>
      <c r="I8" s="31" t="str">
        <f>IF('Area Calc for Velocity value'!$P$38=2,IF(size&gt;=50,IF(C8&gt;0.3,0.35,1/D8*100), " #NA"),IF(AND('Area Calc for Velocity value'!$P$38=4,size&gt;=25),IF(C8&gt;0.3,0.35,1/D8*100),"#NA"))</f>
        <v>#NA</v>
      </c>
      <c r="J8" s="119">
        <f>IF(OR('Area Calc for Velocity value'!$P$38=3, 'Area Calc for Velocity value'!$P$38=1),H8,I8)</f>
        <v>0.35</v>
      </c>
      <c r="K8" s="79">
        <f t="shared" si="7"/>
        <v>0.2</v>
      </c>
      <c r="L8" s="77" t="e">
        <f>IF(AND(size&gt;=1,#REF!&gt;0.3),0.35,1/J8*100)</f>
        <v>#REF!</v>
      </c>
      <c r="M8" s="73" t="e">
        <f>IF(AND(size&gt;16,#REF!&gt;=1),0.35,IF(AND(size&gt;16,#REF!&gt;=0.3),(0.25+(1/J8*100)),1.75/J8*100))</f>
        <v>#REF!</v>
      </c>
      <c r="N8" s="156">
        <f>IF(size&lt;=15,"#N/A",IF(OR('Area Calc for Velocity value'!$P$38=2,'Area Calc for Velocity value'!$P$38=4),"#N/A",IF(size&gt;200," #NA", K8)))</f>
        <v>0.2</v>
      </c>
      <c r="O8" s="78" t="str">
        <f t="shared" si="2"/>
        <v xml:space="preserve">  #NA</v>
      </c>
      <c r="P8" s="78">
        <f>IF('Area Calc for Velocity value'!$P$38=1,IF(C8&gt;0.15,0.3,0.5/D8*100)," #NA")</f>
        <v>0.3</v>
      </c>
      <c r="Q8" s="78">
        <f t="shared" si="3"/>
        <v>0.3</v>
      </c>
      <c r="R8" s="116">
        <f>IF(size=15,O8,IF('Area Calc for Velocity value'!$P$38=3,Q8,P8))</f>
        <v>0.3</v>
      </c>
      <c r="S8" s="116">
        <f t="shared" si="4"/>
        <v>0.15</v>
      </c>
      <c r="T8" s="77" t="e">
        <f>IF(AND(size&gt;=1,#REF!&gt;0.3),0.35,1/X8*100)</f>
        <v>#REF!</v>
      </c>
      <c r="U8" s="73" t="e">
        <f>IF(AND(size&gt;16,#REF!&gt;=1),0.35,IF(AND(size&gt;16,#REF!&gt;=0.3),(0.25+(1/X8*100)),1.75/X8*100))</f>
        <v>#REF!</v>
      </c>
      <c r="V8" s="156">
        <f>IF(size&lt;=15,"#N/A",IF(OR('Area Calc for Velocity value'!$P$38=2,'Area Calc for Velocity value'!$P$38=4),"#N/A",IF(size&gt;200," #NA", S8)))</f>
        <v>0.15</v>
      </c>
      <c r="W8" s="170">
        <f>IF('Area Calc for Velocity value'!$P$38=1,IF(size&gt;=25,IF(C8&gt;0.3,0.35,2/D8*100), " #NA"))</f>
        <v>0.35</v>
      </c>
      <c r="X8" s="159">
        <f t="shared" si="8"/>
        <v>0.35</v>
      </c>
      <c r="Z8" s="96">
        <f t="shared" si="9"/>
        <v>92.5</v>
      </c>
      <c r="AA8" s="104">
        <f>IF('Accuracy Statement'!$D$9&gt;10,"ERROR",J8)</f>
        <v>0.35</v>
      </c>
      <c r="AB8" s="1">
        <f>IF('Accuracy Statement'!$D$9&gt;10,"ERROR",N8)</f>
        <v>0.2</v>
      </c>
      <c r="AC8" s="104">
        <f>IF('Accuracy Statement'!$D$9&gt;10,"ERROR",R8)</f>
        <v>0.3</v>
      </c>
      <c r="AD8" s="1">
        <f>IF('Accuracy Statement'!$D$9&gt;10,"ERROR",V8)</f>
        <v>0.15</v>
      </c>
      <c r="AE8" s="104">
        <f>IF('Accuracy Statement'!$D$9&gt;10,"ERROR",X8)</f>
        <v>0.35</v>
      </c>
      <c r="AF8" s="107">
        <f>IF('Accuracy Statement'!$D$9&gt;10,"ERROR",0.5+(1/D8*100))</f>
        <v>0.53056691891891894</v>
      </c>
      <c r="AG8" s="1">
        <f>IF('Accuracy Statement'!$D$9&gt;10,"ERROR",0.2+(2/D8*100))</f>
        <v>0.26113383783783789</v>
      </c>
      <c r="AH8" s="107">
        <f>IF('Accuracy Statement'!$D$9&gt;10,"ERROR",IF(C8&lt;2,0.25+1/D8*100,0.25+1.5/D8*100))</f>
        <v>0.29585037837837841</v>
      </c>
      <c r="AI8" s="1">
        <f>IF('Accuracy Statement'!$D$9&gt;10,"ERROR",IF($C8&lt;4,0.15+1/$D8*100,0.18))</f>
        <v>0.18056691891891893</v>
      </c>
      <c r="AJ8" s="110">
        <f>IF('Accuracy Statement'!$D$9&gt;10,"ERROR",0.3+1/D8*100)</f>
        <v>0.33056691891891893</v>
      </c>
      <c r="AK8" s="73">
        <f>IF('Accuracy Statement'!$D$9&gt;10,"ERROR",0.2+1/D8*100)</f>
        <v>0.23056691891891895</v>
      </c>
      <c r="AL8" s="110">
        <f>IF('Accuracy Statement'!$D$9&gt;10,"ERROR",0.3+(100*(0.0002*$AN$56)/(($C8/10)*$AN$56)))</f>
        <v>0.36113383783783787</v>
      </c>
      <c r="AM8" s="167">
        <f>IF('Accuracy Statement'!$D$9&gt;10,"ERROR",0.4+(100*(0.0002*$AN$56)/(($C8/10)*$AN$56)))</f>
        <v>0.4611338378378379</v>
      </c>
      <c r="AN8" s="110">
        <f>IF('Accuracy Statement'!$D$9&gt;10,"ERROR",0.2+(100*(0.0002*$AN$56)/(($C8/10)*$AN$56)))</f>
        <v>0.26113383783783789</v>
      </c>
      <c r="AO8" s="100">
        <f>IF('Accuracy Statement'!$D$9&gt;10,"ERROR",0.2+1/F8*100)</f>
        <v>285.91428571428571</v>
      </c>
      <c r="AP8" s="110">
        <f>IF('Accuracy Statement'!$D$9&gt;10,"ERROR",IF(C8&lt;0.25, 2.5/D8*100, 0.5+(1.25/D8)*100))</f>
        <v>0.5382086486486487</v>
      </c>
      <c r="AQ8" s="24"/>
      <c r="AR8" s="24"/>
      <c r="AS8" s="24"/>
      <c r="AT8" s="24"/>
      <c r="AU8" s="24"/>
      <c r="AV8" s="24"/>
    </row>
    <row r="9" spans="2:48">
      <c r="B9" s="87">
        <v>90</v>
      </c>
      <c r="C9" s="2">
        <f t="shared" si="5"/>
        <v>3.1830914183855352</v>
      </c>
      <c r="D9" s="88">
        <f t="shared" si="6"/>
        <v>3183.0914183855352</v>
      </c>
      <c r="E9" s="79" t="str">
        <f t="shared" si="0"/>
        <v xml:space="preserve">  #NA</v>
      </c>
      <c r="F9" s="31">
        <f>IF('Area Calc for Velocity value'!$P$38=1,IF(C9&gt;0.15,0.35,0.5/D9*100)," #NA")</f>
        <v>0.35</v>
      </c>
      <c r="G9" s="31">
        <f t="shared" si="1"/>
        <v>0.35</v>
      </c>
      <c r="H9" s="116">
        <f>IF(size=15,E9,IF('Area Calc for Velocity value'!$P$38=3,G9,F9))</f>
        <v>0.35</v>
      </c>
      <c r="I9" s="31" t="str">
        <f>IF('Area Calc for Velocity value'!$P$38=2,IF(size&gt;=50,IF(C9&gt;0.3,0.35,1/D9*100), " #NA"),IF(AND('Area Calc for Velocity value'!$P$38=4,size&gt;=25),IF(C9&gt;0.3,0.35,1/D9*100),"#NA"))</f>
        <v>#NA</v>
      </c>
      <c r="J9" s="119">
        <f>IF(OR('Area Calc for Velocity value'!$P$38=3, 'Area Calc for Velocity value'!$P$38=1),H9,I9)</f>
        <v>0.35</v>
      </c>
      <c r="K9" s="79">
        <f t="shared" si="7"/>
        <v>0.2</v>
      </c>
      <c r="L9" s="77" t="e">
        <f>IF(AND(size&gt;=1,#REF!&gt;0.3),0.35,1/J9*100)</f>
        <v>#REF!</v>
      </c>
      <c r="M9" s="73" t="e">
        <f>IF(AND(size&gt;16,#REF!&gt;=1),0.35,IF(AND(size&gt;16,#REF!&gt;=0.3),(0.25+(1/J9*100)),1.75/J9*100))</f>
        <v>#REF!</v>
      </c>
      <c r="N9" s="156">
        <f>IF(size&lt;=15,"#N/A",IF(OR('Area Calc for Velocity value'!$P$38=2,'Area Calc for Velocity value'!$P$38=4),"#N/A",IF(size&gt;200," #NA", K9)))</f>
        <v>0.2</v>
      </c>
      <c r="O9" s="78" t="str">
        <f t="shared" si="2"/>
        <v xml:space="preserve">  #NA</v>
      </c>
      <c r="P9" s="78">
        <f>IF('Area Calc for Velocity value'!$P$38=1,IF(C9&gt;0.15,0.3,0.5/D9*100)," #NA")</f>
        <v>0.3</v>
      </c>
      <c r="Q9" s="78">
        <f t="shared" si="3"/>
        <v>0.3</v>
      </c>
      <c r="R9" s="116">
        <f>IF(size=15,O9,IF('Area Calc for Velocity value'!$P$38=3,Q9,P9))</f>
        <v>0.3</v>
      </c>
      <c r="S9" s="116">
        <f t="shared" si="4"/>
        <v>0.15</v>
      </c>
      <c r="T9" s="77" t="e">
        <f>IF(AND(size&gt;=1,#REF!&gt;0.3),0.35,1/X9*100)</f>
        <v>#REF!</v>
      </c>
      <c r="U9" s="73" t="e">
        <f>IF(AND(size&gt;16,#REF!&gt;=1),0.35,IF(AND(size&gt;16,#REF!&gt;=0.3),(0.25+(1/X9*100)),1.75/X9*100))</f>
        <v>#REF!</v>
      </c>
      <c r="V9" s="156">
        <f>IF(size&lt;=15,"#N/A",IF(OR('Area Calc for Velocity value'!$P$38=2,'Area Calc for Velocity value'!$P$38=4),"#N/A",IF(size&gt;200," #NA", S9)))</f>
        <v>0.15</v>
      </c>
      <c r="W9" s="170">
        <f>IF('Area Calc for Velocity value'!$P$38=1,IF(size&gt;=25,IF(C9&gt;0.3,0.35,2/D9*100), " #NA"))</f>
        <v>0.35</v>
      </c>
      <c r="X9" s="159">
        <f t="shared" si="8"/>
        <v>0.35</v>
      </c>
      <c r="Z9" s="96">
        <f t="shared" si="9"/>
        <v>90</v>
      </c>
      <c r="AA9" s="104">
        <f>IF('Accuracy Statement'!$D$9&gt;10,"ERROR",J9)</f>
        <v>0.35</v>
      </c>
      <c r="AB9" s="1">
        <f>IF('Accuracy Statement'!$D$9&gt;10,"ERROR",N9)</f>
        <v>0.2</v>
      </c>
      <c r="AC9" s="104">
        <f>IF('Accuracy Statement'!$D$9&gt;10,"ERROR",R9)</f>
        <v>0.3</v>
      </c>
      <c r="AD9" s="1">
        <f>IF('Accuracy Statement'!$D$9&gt;10,"ERROR",V9)</f>
        <v>0.15</v>
      </c>
      <c r="AE9" s="104">
        <f>IF('Accuracy Statement'!$D$9&gt;10,"ERROR",X9)</f>
        <v>0.35</v>
      </c>
      <c r="AF9" s="107">
        <f>IF('Accuracy Statement'!$D$9&gt;10,"ERROR",0.5+(1/D9*100))</f>
        <v>0.531416</v>
      </c>
      <c r="AG9" s="1">
        <f>IF('Accuracy Statement'!$D$9&gt;10,"ERROR",0.2+(2/D9*100))</f>
        <v>0.26283200000000001</v>
      </c>
      <c r="AH9" s="107">
        <f>IF('Accuracy Statement'!$D$9&gt;10,"ERROR",IF(C9&lt;2,0.25+1/D9*100,0.25+1.5/D9*100))</f>
        <v>0.297124</v>
      </c>
      <c r="AI9" s="1">
        <f>IF('Accuracy Statement'!$D$9&gt;10,"ERROR",IF($C9&lt;4,0.15+1/$D9*100,0.18))</f>
        <v>0.18141599999999999</v>
      </c>
      <c r="AJ9" s="110">
        <f>IF('Accuracy Statement'!$D$9&gt;10,"ERROR",0.3+1/D9*100)</f>
        <v>0.33141599999999999</v>
      </c>
      <c r="AK9" s="73">
        <f>IF('Accuracy Statement'!$D$9&gt;10,"ERROR",0.2+1/D9*100)</f>
        <v>0.23141600000000001</v>
      </c>
      <c r="AL9" s="110">
        <f>IF('Accuracy Statement'!$D$9&gt;10,"ERROR",0.3+(100*(0.0002*$AN$56)/(($C9/10)*$AN$56)))</f>
        <v>0.36283199999999999</v>
      </c>
      <c r="AM9" s="167">
        <f>IF('Accuracy Statement'!$D$9&gt;10,"ERROR",0.4+(100*(0.0002*$AN$56)/(($C9/10)*$AN$56)))</f>
        <v>0.46283200000000002</v>
      </c>
      <c r="AN9" s="110">
        <f>IF('Accuracy Statement'!$D$9&gt;10,"ERROR",0.2+(100*(0.0002*$AN$56)/(($C9/10)*$AN$56)))</f>
        <v>0.26283200000000001</v>
      </c>
      <c r="AO9" s="100">
        <f>IF('Accuracy Statement'!$D$9&gt;10,"ERROR",0.2+1/F9*100)</f>
        <v>285.91428571428571</v>
      </c>
      <c r="AP9" s="110">
        <f>IF('Accuracy Statement'!$D$9&gt;10,"ERROR",IF(C9&lt;0.25, 2.5/D9*100, 0.5+(1.25/D9)*100))</f>
        <v>0.53927000000000003</v>
      </c>
      <c r="AQ9" s="24"/>
      <c r="AR9" s="24"/>
      <c r="AS9" s="24"/>
      <c r="AT9" s="24"/>
      <c r="AU9" s="24"/>
      <c r="AV9" s="24"/>
    </row>
    <row r="10" spans="2:48">
      <c r="B10" s="87">
        <v>87.5</v>
      </c>
      <c r="C10" s="2">
        <f t="shared" si="5"/>
        <v>3.0946722123192703</v>
      </c>
      <c r="D10" s="88">
        <f t="shared" si="6"/>
        <v>3094.6722123192703</v>
      </c>
      <c r="E10" s="79" t="str">
        <f t="shared" si="0"/>
        <v xml:space="preserve">  #NA</v>
      </c>
      <c r="F10" s="31">
        <f>IF('Area Calc for Velocity value'!$P$38=1,IF(C10&gt;0.15,0.35,0.5/D10*100)," #NA")</f>
        <v>0.35</v>
      </c>
      <c r="G10" s="31">
        <f t="shared" si="1"/>
        <v>0.35</v>
      </c>
      <c r="H10" s="116">
        <f>IF(size=15,E10,IF('Area Calc for Velocity value'!$P$38=3,G10,F10))</f>
        <v>0.35</v>
      </c>
      <c r="I10" s="31" t="str">
        <f>IF('Area Calc for Velocity value'!$P$38=2,IF(size&gt;=50,IF(C10&gt;0.3,0.35,1/D10*100), " #NA"),IF(AND('Area Calc for Velocity value'!$P$38=4,size&gt;=25),IF(C10&gt;0.3,0.35,1/D10*100),"#NA"))</f>
        <v>#NA</v>
      </c>
      <c r="J10" s="119">
        <f>IF(OR('Area Calc for Velocity value'!$P$38=3, 'Area Calc for Velocity value'!$P$38=1),H10,I10)</f>
        <v>0.35</v>
      </c>
      <c r="K10" s="79">
        <f t="shared" si="7"/>
        <v>0.2</v>
      </c>
      <c r="L10" s="77" t="e">
        <f>IF(AND(size&gt;=1,#REF!&gt;0.3),0.35,1/J10*100)</f>
        <v>#REF!</v>
      </c>
      <c r="M10" s="73" t="e">
        <f>IF(AND(size&gt;16,#REF!&gt;=1),0.35,IF(AND(size&gt;16,#REF!&gt;=0.3),(0.25+(1/J10*100)),1.75/J10*100))</f>
        <v>#REF!</v>
      </c>
      <c r="N10" s="156">
        <f>IF(size&lt;=15,"#N/A",IF(OR('Area Calc for Velocity value'!$P$38=2,'Area Calc for Velocity value'!$P$38=4),"#N/A",IF(size&gt;200," #NA", K10)))</f>
        <v>0.2</v>
      </c>
      <c r="O10" s="78" t="str">
        <f t="shared" si="2"/>
        <v xml:space="preserve">  #NA</v>
      </c>
      <c r="P10" s="78">
        <f>IF('Area Calc for Velocity value'!$P$38=1,IF(C10&gt;0.15,0.3,0.5/D10*100)," #NA")</f>
        <v>0.3</v>
      </c>
      <c r="Q10" s="78">
        <f t="shared" si="3"/>
        <v>0.3</v>
      </c>
      <c r="R10" s="116">
        <f>IF(size=15,O10,IF('Area Calc for Velocity value'!$P$38=3,Q10,P10))</f>
        <v>0.3</v>
      </c>
      <c r="S10" s="116">
        <f t="shared" si="4"/>
        <v>0.15</v>
      </c>
      <c r="T10" s="77" t="e">
        <f>IF(AND(size&gt;=1,#REF!&gt;0.3),0.35,1/X10*100)</f>
        <v>#REF!</v>
      </c>
      <c r="U10" s="73" t="e">
        <f>IF(AND(size&gt;16,#REF!&gt;=1),0.35,IF(AND(size&gt;16,#REF!&gt;=0.3),(0.25+(1/X10*100)),1.75/X10*100))</f>
        <v>#REF!</v>
      </c>
      <c r="V10" s="156">
        <f>IF(size&lt;=15,"#N/A",IF(OR('Area Calc for Velocity value'!$P$38=2,'Area Calc for Velocity value'!$P$38=4),"#N/A",IF(size&gt;200," #NA", S10)))</f>
        <v>0.15</v>
      </c>
      <c r="W10" s="170">
        <f>IF('Area Calc for Velocity value'!$P$38=1,IF(size&gt;=25,IF(C10&gt;0.3,0.35,2/D10*100), " #NA"))</f>
        <v>0.35</v>
      </c>
      <c r="X10" s="159">
        <f t="shared" si="8"/>
        <v>0.35</v>
      </c>
      <c r="Z10" s="96">
        <f t="shared" si="9"/>
        <v>87.5</v>
      </c>
      <c r="AA10" s="104">
        <f>IF('Accuracy Statement'!$D$9&gt;10,"ERROR",J10)</f>
        <v>0.35</v>
      </c>
      <c r="AB10" s="1">
        <f>IF('Accuracy Statement'!$D$9&gt;10,"ERROR",N10)</f>
        <v>0.2</v>
      </c>
      <c r="AC10" s="104">
        <f>IF('Accuracy Statement'!$D$9&gt;10,"ERROR",R10)</f>
        <v>0.3</v>
      </c>
      <c r="AD10" s="1">
        <f>IF('Accuracy Statement'!$D$9&gt;10,"ERROR",V10)</f>
        <v>0.15</v>
      </c>
      <c r="AE10" s="104">
        <f>IF('Accuracy Statement'!$D$9&gt;10,"ERROR",X10)</f>
        <v>0.35</v>
      </c>
      <c r="AF10" s="107">
        <f>IF('Accuracy Statement'!$D$9&gt;10,"ERROR",0.5+(1/D10*100))</f>
        <v>0.53231360000000005</v>
      </c>
      <c r="AG10" s="1">
        <f>IF('Accuracy Statement'!$D$9&gt;10,"ERROR",0.2+(2/D10*100))</f>
        <v>0.26462720000000001</v>
      </c>
      <c r="AH10" s="107">
        <f>IF('Accuracy Statement'!$D$9&gt;10,"ERROR",IF(C10&lt;2,0.25+1/D10*100,0.25+1.5/D10*100))</f>
        <v>0.29847040000000002</v>
      </c>
      <c r="AI10" s="1">
        <f>IF('Accuracy Statement'!$D$9&gt;10,"ERROR",IF($C10&lt;4,0.15+1/$D10*100,0.18))</f>
        <v>0.18231359999999999</v>
      </c>
      <c r="AJ10" s="110">
        <f>IF('Accuracy Statement'!$D$9&gt;10,"ERROR",0.3+1/D10*100)</f>
        <v>0.33231359999999999</v>
      </c>
      <c r="AK10" s="73">
        <f>IF('Accuracy Statement'!$D$9&gt;10,"ERROR",0.2+1/D10*100)</f>
        <v>0.23231360000000001</v>
      </c>
      <c r="AL10" s="110">
        <f>IF('Accuracy Statement'!$D$9&gt;10,"ERROR",0.3+(100*(0.0002*$AN$56)/(($C10/10)*$AN$56)))</f>
        <v>0.36462719999999998</v>
      </c>
      <c r="AM10" s="167">
        <f>IF('Accuracy Statement'!$D$9&gt;10,"ERROR",0.4+(100*(0.0002*$AN$56)/(($C10/10)*$AN$56)))</f>
        <v>0.46462720000000002</v>
      </c>
      <c r="AN10" s="110">
        <f>IF('Accuracy Statement'!$D$9&gt;10,"ERROR",0.2+(100*(0.0002*$AN$56)/(($C10/10)*$AN$56)))</f>
        <v>0.26462720000000001</v>
      </c>
      <c r="AO10" s="100">
        <f>IF('Accuracy Statement'!$D$9&gt;10,"ERROR",0.2+1/F10*100)</f>
        <v>285.91428571428571</v>
      </c>
      <c r="AP10" s="110">
        <f>IF('Accuracy Statement'!$D$9&gt;10,"ERROR",IF(C10&lt;0.25, 2.5/D10*100, 0.5+(1.25/D10)*100))</f>
        <v>0.54039199999999998</v>
      </c>
      <c r="AQ10" s="24"/>
      <c r="AR10" s="24"/>
      <c r="AS10" s="24"/>
      <c r="AT10" s="24"/>
      <c r="AU10" s="24"/>
      <c r="AV10" s="24"/>
    </row>
    <row r="11" spans="2:48">
      <c r="B11" s="87">
        <v>85</v>
      </c>
      <c r="C11" s="2">
        <f t="shared" si="5"/>
        <v>3.0062530062530053</v>
      </c>
      <c r="D11" s="88">
        <f t="shared" si="6"/>
        <v>3006.2530062530054</v>
      </c>
      <c r="E11" s="79" t="str">
        <f t="shared" si="0"/>
        <v xml:space="preserve">  #NA</v>
      </c>
      <c r="F11" s="31">
        <f>IF('Area Calc for Velocity value'!$P$38=1,IF(C11&gt;0.15,0.35,0.5/D11*100)," #NA")</f>
        <v>0.35</v>
      </c>
      <c r="G11" s="31">
        <f t="shared" si="1"/>
        <v>0.35</v>
      </c>
      <c r="H11" s="116">
        <f>IF(size=15,E11,IF('Area Calc for Velocity value'!$P$38=3,G11,F11))</f>
        <v>0.35</v>
      </c>
      <c r="I11" s="31" t="str">
        <f>IF('Area Calc for Velocity value'!$P$38=2,IF(size&gt;=50,IF(C11&gt;0.3,0.35,1/D11*100), " #NA"),IF(AND('Area Calc for Velocity value'!$P$38=4,size&gt;=25),IF(C11&gt;0.3,0.35,1/D11*100),"#NA"))</f>
        <v>#NA</v>
      </c>
      <c r="J11" s="119">
        <f>IF(OR('Area Calc for Velocity value'!$P$38=3, 'Area Calc for Velocity value'!$P$38=1),H11,I11)</f>
        <v>0.35</v>
      </c>
      <c r="K11" s="79">
        <f t="shared" si="7"/>
        <v>0.2</v>
      </c>
      <c r="L11" s="77" t="e">
        <f>IF(AND(size&gt;=1,#REF!&gt;0.3),0.35,1/J11*100)</f>
        <v>#REF!</v>
      </c>
      <c r="M11" s="73" t="e">
        <f>IF(AND(size&gt;16,#REF!&gt;=1),0.35,IF(AND(size&gt;16,#REF!&gt;=0.3),(0.25+(1/J11*100)),1.75/J11*100))</f>
        <v>#REF!</v>
      </c>
      <c r="N11" s="156">
        <f>IF(size&lt;=15,"#N/A",IF(OR('Area Calc for Velocity value'!$P$38=2,'Area Calc for Velocity value'!$P$38=4),"#N/A",IF(size&gt;200," #NA", K11)))</f>
        <v>0.2</v>
      </c>
      <c r="O11" s="78" t="str">
        <f t="shared" si="2"/>
        <v xml:space="preserve">  #NA</v>
      </c>
      <c r="P11" s="78">
        <f>IF('Area Calc for Velocity value'!$P$38=1,IF(C11&gt;0.15,0.3,0.5/D11*100)," #NA")</f>
        <v>0.3</v>
      </c>
      <c r="Q11" s="78">
        <f t="shared" si="3"/>
        <v>0.3</v>
      </c>
      <c r="R11" s="116">
        <f>IF(size=15,O11,IF('Area Calc for Velocity value'!$P$38=3,Q11,P11))</f>
        <v>0.3</v>
      </c>
      <c r="S11" s="116">
        <f t="shared" si="4"/>
        <v>0.15</v>
      </c>
      <c r="T11" s="77" t="e">
        <f>IF(AND(size&gt;=1,#REF!&gt;0.3),0.35,1/X11*100)</f>
        <v>#REF!</v>
      </c>
      <c r="U11" s="73" t="e">
        <f>IF(AND(size&gt;16,#REF!&gt;=1),0.35,IF(AND(size&gt;16,#REF!&gt;=0.3),(0.25+(1/X11*100)),1.75/X11*100))</f>
        <v>#REF!</v>
      </c>
      <c r="V11" s="156">
        <f>IF(size&lt;=15,"#N/A",IF(OR('Area Calc for Velocity value'!$P$38=2,'Area Calc for Velocity value'!$P$38=4),"#N/A",IF(size&gt;200," #NA", S11)))</f>
        <v>0.15</v>
      </c>
      <c r="W11" s="170">
        <f>IF('Area Calc for Velocity value'!$P$38=1,IF(size&gt;=25,IF(C11&gt;0.3,0.35,2/D11*100), " #NA"))</f>
        <v>0.35</v>
      </c>
      <c r="X11" s="159">
        <f t="shared" si="8"/>
        <v>0.35</v>
      </c>
      <c r="Z11" s="96">
        <f t="shared" si="9"/>
        <v>85</v>
      </c>
      <c r="AA11" s="104">
        <f>IF('Accuracy Statement'!$D$9&gt;10,"ERROR",J11)</f>
        <v>0.35</v>
      </c>
      <c r="AB11" s="1">
        <f>IF('Accuracy Statement'!$D$9&gt;10,"ERROR",N11)</f>
        <v>0.2</v>
      </c>
      <c r="AC11" s="104">
        <f>IF('Accuracy Statement'!$D$9&gt;10,"ERROR",R11)</f>
        <v>0.3</v>
      </c>
      <c r="AD11" s="1">
        <f>IF('Accuracy Statement'!$D$9&gt;10,"ERROR",V11)</f>
        <v>0.15</v>
      </c>
      <c r="AE11" s="104">
        <f>IF('Accuracy Statement'!$D$9&gt;10,"ERROR",X11)</f>
        <v>0.35</v>
      </c>
      <c r="AF11" s="107">
        <f>IF('Accuracy Statement'!$D$9&gt;10,"ERROR",0.5+(1/D11*100))</f>
        <v>0.53326399999999996</v>
      </c>
      <c r="AG11" s="1">
        <f>IF('Accuracy Statement'!$D$9&gt;10,"ERROR",0.2+(2/D11*100))</f>
        <v>0.26652800000000004</v>
      </c>
      <c r="AH11" s="107">
        <f>IF('Accuracy Statement'!$D$9&gt;10,"ERROR",IF(C11&lt;2,0.25+1/D11*100,0.25+1.5/D11*100))</f>
        <v>0.299896</v>
      </c>
      <c r="AI11" s="1">
        <f>IF('Accuracy Statement'!$D$9&gt;10,"ERROR",IF($C11&lt;4,0.15+1/$D11*100,0.18))</f>
        <v>0.18326400000000001</v>
      </c>
      <c r="AJ11" s="110">
        <f>IF('Accuracy Statement'!$D$9&gt;10,"ERROR",0.3+1/D11*100)</f>
        <v>0.333264</v>
      </c>
      <c r="AK11" s="73">
        <f>IF('Accuracy Statement'!$D$9&gt;10,"ERROR",0.2+1/D11*100)</f>
        <v>0.23326400000000003</v>
      </c>
      <c r="AL11" s="110">
        <f>IF('Accuracy Statement'!$D$9&gt;10,"ERROR",0.3+(100*(0.0002*$AN$56)/(($C11/10)*$AN$56)))</f>
        <v>0.36652800000000002</v>
      </c>
      <c r="AM11" s="167">
        <f>IF('Accuracy Statement'!$D$9&gt;10,"ERROR",0.4+(100*(0.0002*$AN$56)/(($C11/10)*$AN$56)))</f>
        <v>0.46652800000000005</v>
      </c>
      <c r="AN11" s="110">
        <f>IF('Accuracy Statement'!$D$9&gt;10,"ERROR",0.2+(100*(0.0002*$AN$56)/(($C11/10)*$AN$56)))</f>
        <v>0.26652800000000004</v>
      </c>
      <c r="AO11" s="100">
        <f>IF('Accuracy Statement'!$D$9&gt;10,"ERROR",0.2+1/F11*100)</f>
        <v>285.91428571428571</v>
      </c>
      <c r="AP11" s="110">
        <f>IF('Accuracy Statement'!$D$9&gt;10,"ERROR",IF(C11&lt;0.25, 2.5/D11*100, 0.5+(1.25/D11)*100))</f>
        <v>0.54158000000000006</v>
      </c>
      <c r="AQ11" s="24"/>
      <c r="AR11" s="24"/>
      <c r="AS11" s="24"/>
      <c r="AT11" s="24"/>
      <c r="AU11" s="24"/>
      <c r="AV11" s="24"/>
    </row>
    <row r="12" spans="2:48">
      <c r="B12" s="87">
        <v>82.5</v>
      </c>
      <c r="C12" s="2">
        <f t="shared" si="5"/>
        <v>2.9178338001867403</v>
      </c>
      <c r="D12" s="88">
        <f t="shared" si="6"/>
        <v>2917.8338001867405</v>
      </c>
      <c r="E12" s="79" t="str">
        <f t="shared" si="0"/>
        <v xml:space="preserve">  #NA</v>
      </c>
      <c r="F12" s="31">
        <f>IF('Area Calc for Velocity value'!$P$38=1,IF(C12&gt;0.15,0.35,0.5/D12*100)," #NA")</f>
        <v>0.35</v>
      </c>
      <c r="G12" s="31">
        <f t="shared" si="1"/>
        <v>0.35</v>
      </c>
      <c r="H12" s="116">
        <f>IF(size=15,E12,IF('Area Calc for Velocity value'!$P$38=3,G12,F12))</f>
        <v>0.35</v>
      </c>
      <c r="I12" s="31" t="str">
        <f>IF('Area Calc for Velocity value'!$P$38=2,IF(size&gt;=50,IF(C12&gt;0.3,0.35,1/D12*100), " #NA"),IF(AND('Area Calc for Velocity value'!$P$38=4,size&gt;=25),IF(C12&gt;0.3,0.35,1/D12*100),"#NA"))</f>
        <v>#NA</v>
      </c>
      <c r="J12" s="119">
        <f>IF(OR('Area Calc for Velocity value'!$P$38=3, 'Area Calc for Velocity value'!$P$38=1),H12,I12)</f>
        <v>0.35</v>
      </c>
      <c r="K12" s="79">
        <f t="shared" si="7"/>
        <v>0.2</v>
      </c>
      <c r="L12" s="77" t="e">
        <f>IF(AND(size&gt;=1,#REF!&gt;0.3),0.35,1/J12*100)</f>
        <v>#REF!</v>
      </c>
      <c r="M12" s="73" t="e">
        <f>IF(AND(size&gt;16,#REF!&gt;=1),0.35,IF(AND(size&gt;16,#REF!&gt;=0.3),(0.25+(1/J12*100)),1.75/J12*100))</f>
        <v>#REF!</v>
      </c>
      <c r="N12" s="156">
        <f>IF(size&lt;=15,"#N/A",IF(OR('Area Calc for Velocity value'!$P$38=2,'Area Calc for Velocity value'!$P$38=4),"#N/A",IF(size&gt;200," #NA", K12)))</f>
        <v>0.2</v>
      </c>
      <c r="O12" s="78" t="str">
        <f t="shared" si="2"/>
        <v xml:space="preserve">  #NA</v>
      </c>
      <c r="P12" s="78">
        <f>IF('Area Calc for Velocity value'!$P$38=1,IF(C12&gt;0.15,0.3,0.5/D12*100)," #NA")</f>
        <v>0.3</v>
      </c>
      <c r="Q12" s="78">
        <f t="shared" si="3"/>
        <v>0.3</v>
      </c>
      <c r="R12" s="116">
        <f>IF(size=15,O12,IF('Area Calc for Velocity value'!$P$38=3,Q12,P12))</f>
        <v>0.3</v>
      </c>
      <c r="S12" s="116">
        <f t="shared" si="4"/>
        <v>0.15</v>
      </c>
      <c r="T12" s="77" t="e">
        <f>IF(AND(size&gt;=1,#REF!&gt;0.3),0.35,1/X12*100)</f>
        <v>#REF!</v>
      </c>
      <c r="U12" s="73" t="e">
        <f>IF(AND(size&gt;16,#REF!&gt;=1),0.35,IF(AND(size&gt;16,#REF!&gt;=0.3),(0.25+(1/X12*100)),1.75/X12*100))</f>
        <v>#REF!</v>
      </c>
      <c r="V12" s="156">
        <f>IF(size&lt;=15,"#N/A",IF(OR('Area Calc for Velocity value'!$P$38=2,'Area Calc for Velocity value'!$P$38=4),"#N/A",IF(size&gt;200," #NA", S12)))</f>
        <v>0.15</v>
      </c>
      <c r="W12" s="170">
        <f>IF('Area Calc for Velocity value'!$P$38=1,IF(size&gt;=25,IF(C12&gt;0.3,0.35,2/D12*100), " #NA"))</f>
        <v>0.35</v>
      </c>
      <c r="X12" s="159">
        <f t="shared" si="8"/>
        <v>0.35</v>
      </c>
      <c r="Z12" s="96">
        <f t="shared" si="9"/>
        <v>82.5</v>
      </c>
      <c r="AA12" s="104">
        <f>IF('Accuracy Statement'!$D$9&gt;10,"ERROR",J12)</f>
        <v>0.35</v>
      </c>
      <c r="AB12" s="1">
        <f>IF('Accuracy Statement'!$D$9&gt;10,"ERROR",N12)</f>
        <v>0.2</v>
      </c>
      <c r="AC12" s="104">
        <f>IF('Accuracy Statement'!$D$9&gt;10,"ERROR",R12)</f>
        <v>0.3</v>
      </c>
      <c r="AD12" s="1">
        <f>IF('Accuracy Statement'!$D$9&gt;10,"ERROR",V12)</f>
        <v>0.15</v>
      </c>
      <c r="AE12" s="104">
        <f>IF('Accuracy Statement'!$D$9&gt;10,"ERROR",X12)</f>
        <v>0.35</v>
      </c>
      <c r="AF12" s="107">
        <f>IF('Accuracy Statement'!$D$9&gt;10,"ERROR",0.5+(1/D12*100))</f>
        <v>0.53427199999999997</v>
      </c>
      <c r="AG12" s="1">
        <f>IF('Accuracy Statement'!$D$9&gt;10,"ERROR",0.2+(2/D12*100))</f>
        <v>0.268544</v>
      </c>
      <c r="AH12" s="107">
        <f>IF('Accuracy Statement'!$D$9&gt;10,"ERROR",IF(C12&lt;2,0.25+1/D12*100,0.25+1.5/D12*100))</f>
        <v>0.30140800000000001</v>
      </c>
      <c r="AI12" s="1">
        <f>IF('Accuracy Statement'!$D$9&gt;10,"ERROR",IF($C12&lt;4,0.15+1/$D12*100,0.18))</f>
        <v>0.18427199999999999</v>
      </c>
      <c r="AJ12" s="110">
        <f>IF('Accuracy Statement'!$D$9&gt;10,"ERROR",0.3+1/D12*100)</f>
        <v>0.33427200000000001</v>
      </c>
      <c r="AK12" s="73">
        <f>IF('Accuracy Statement'!$D$9&gt;10,"ERROR",0.2+1/D12*100)</f>
        <v>0.23427200000000004</v>
      </c>
      <c r="AL12" s="110">
        <f>IF('Accuracy Statement'!$D$9&gt;10,"ERROR",0.3+(100*(0.0002*$AN$56)/(($C12/10)*$AN$56)))</f>
        <v>0.36854399999999998</v>
      </c>
      <c r="AM12" s="167">
        <f>IF('Accuracy Statement'!$D$9&gt;10,"ERROR",0.4+(100*(0.0002*$AN$56)/(($C12/10)*$AN$56)))</f>
        <v>0.46854400000000007</v>
      </c>
      <c r="AN12" s="110">
        <f>IF('Accuracy Statement'!$D$9&gt;10,"ERROR",0.2+(100*(0.0002*$AN$56)/(($C12/10)*$AN$56)))</f>
        <v>0.268544</v>
      </c>
      <c r="AO12" s="100">
        <f>IF('Accuracy Statement'!$D$9&gt;10,"ERROR",0.2+1/F12*100)</f>
        <v>285.91428571428571</v>
      </c>
      <c r="AP12" s="110">
        <f>IF('Accuracy Statement'!$D$9&gt;10,"ERROR",IF(C12&lt;0.25, 2.5/D12*100, 0.5+(1.25/D12)*100))</f>
        <v>0.54283999999999999</v>
      </c>
      <c r="AQ12" s="24"/>
      <c r="AR12" s="24"/>
      <c r="AS12" s="24"/>
      <c r="AT12" s="24"/>
      <c r="AU12" s="24"/>
      <c r="AV12" s="24"/>
    </row>
    <row r="13" spans="2:48">
      <c r="B13" s="87">
        <v>80</v>
      </c>
      <c r="C13" s="2">
        <f t="shared" si="5"/>
        <v>2.8294145941204758</v>
      </c>
      <c r="D13" s="88">
        <f t="shared" si="6"/>
        <v>2829.4145941204756</v>
      </c>
      <c r="E13" s="79" t="str">
        <f t="shared" si="0"/>
        <v xml:space="preserve">  #NA</v>
      </c>
      <c r="F13" s="31">
        <f>IF('Area Calc for Velocity value'!$P$38=1,IF(C13&gt;0.15,0.35,0.5/D13*100)," #NA")</f>
        <v>0.35</v>
      </c>
      <c r="G13" s="31">
        <f t="shared" si="1"/>
        <v>0.35</v>
      </c>
      <c r="H13" s="116">
        <f>IF(size=15,E13,IF('Area Calc for Velocity value'!$P$38=3,G13,F13))</f>
        <v>0.35</v>
      </c>
      <c r="I13" s="31" t="str">
        <f>IF('Area Calc for Velocity value'!$P$38=2,IF(size&gt;=50,IF(C13&gt;0.3,0.35,1/D13*100), " #NA"),IF(AND('Area Calc for Velocity value'!$P$38=4,size&gt;=25),IF(C13&gt;0.3,0.35,1/D13*100),"#NA"))</f>
        <v>#NA</v>
      </c>
      <c r="J13" s="119">
        <f>IF(OR('Area Calc for Velocity value'!$P$38=3, 'Area Calc for Velocity value'!$P$38=1),H13,I13)</f>
        <v>0.35</v>
      </c>
      <c r="K13" s="79">
        <f t="shared" si="7"/>
        <v>0.2</v>
      </c>
      <c r="L13" s="77" t="e">
        <f>IF(AND(size&gt;=1,#REF!&gt;0.3),0.35,1/J13*100)</f>
        <v>#REF!</v>
      </c>
      <c r="M13" s="73" t="e">
        <f>IF(AND(size&gt;16,#REF!&gt;=1),0.35,IF(AND(size&gt;16,#REF!&gt;=0.3),(0.25+(1/J13*100)),1.75/J13*100))</f>
        <v>#REF!</v>
      </c>
      <c r="N13" s="156">
        <f>IF(size&lt;=15,"#N/A",IF(OR('Area Calc for Velocity value'!$P$38=2,'Area Calc for Velocity value'!$P$38=4),"#N/A",IF(size&gt;200," #NA", K13)))</f>
        <v>0.2</v>
      </c>
      <c r="O13" s="78" t="str">
        <f t="shared" si="2"/>
        <v xml:space="preserve">  #NA</v>
      </c>
      <c r="P13" s="78">
        <f>IF('Area Calc for Velocity value'!$P$38=1,IF(C13&gt;0.15,0.3,0.5/D13*100)," #NA")</f>
        <v>0.3</v>
      </c>
      <c r="Q13" s="78">
        <f t="shared" si="3"/>
        <v>0.3</v>
      </c>
      <c r="R13" s="116">
        <f>IF(size=15,O13,IF('Area Calc for Velocity value'!$P$38=3,Q13,P13))</f>
        <v>0.3</v>
      </c>
      <c r="S13" s="116">
        <f t="shared" si="4"/>
        <v>0.15</v>
      </c>
      <c r="T13" s="77" t="e">
        <f>IF(AND(size&gt;=1,#REF!&gt;0.3),0.35,1/X13*100)</f>
        <v>#REF!</v>
      </c>
      <c r="U13" s="73" t="e">
        <f>IF(AND(size&gt;16,#REF!&gt;=1),0.35,IF(AND(size&gt;16,#REF!&gt;=0.3),(0.25+(1/X13*100)),1.75/X13*100))</f>
        <v>#REF!</v>
      </c>
      <c r="V13" s="156">
        <f>IF(size&lt;=15,"#N/A",IF(OR('Area Calc for Velocity value'!$P$38=2,'Area Calc for Velocity value'!$P$38=4),"#N/A",IF(size&gt;200," #NA", S13)))</f>
        <v>0.15</v>
      </c>
      <c r="W13" s="170">
        <f>IF('Area Calc for Velocity value'!$P$38=1,IF(size&gt;=25,IF(C13&gt;0.3,0.35,2/D13*100), " #NA"))</f>
        <v>0.35</v>
      </c>
      <c r="X13" s="159">
        <f t="shared" si="8"/>
        <v>0.35</v>
      </c>
      <c r="Z13" s="96">
        <f t="shared" si="9"/>
        <v>80</v>
      </c>
      <c r="AA13" s="104">
        <f>IF('Accuracy Statement'!$D$9&gt;10,"ERROR",J13)</f>
        <v>0.35</v>
      </c>
      <c r="AB13" s="1">
        <f>IF('Accuracy Statement'!$D$9&gt;10,"ERROR",N13)</f>
        <v>0.2</v>
      </c>
      <c r="AC13" s="104">
        <f>IF('Accuracy Statement'!$D$9&gt;10,"ERROR",R13)</f>
        <v>0.3</v>
      </c>
      <c r="AD13" s="1">
        <f>IF('Accuracy Statement'!$D$9&gt;10,"ERROR",V13)</f>
        <v>0.15</v>
      </c>
      <c r="AE13" s="104">
        <f>IF('Accuracy Statement'!$D$9&gt;10,"ERROR",X13)</f>
        <v>0.35</v>
      </c>
      <c r="AF13" s="107">
        <f>IF('Accuracy Statement'!$D$9&gt;10,"ERROR",0.5+(1/D13*100))</f>
        <v>0.53534300000000001</v>
      </c>
      <c r="AG13" s="1">
        <f>IF('Accuracy Statement'!$D$9&gt;10,"ERROR",0.2+(2/D13*100))</f>
        <v>0.27068600000000004</v>
      </c>
      <c r="AH13" s="107">
        <f>IF('Accuracy Statement'!$D$9&gt;10,"ERROR",IF(C13&lt;2,0.25+1/D13*100,0.25+1.5/D13*100))</f>
        <v>0.30301450000000002</v>
      </c>
      <c r="AI13" s="1">
        <f>IF('Accuracy Statement'!$D$9&gt;10,"ERROR",IF($C13&lt;4,0.15+1/$D13*100,0.18))</f>
        <v>0.18534300000000001</v>
      </c>
      <c r="AJ13" s="110">
        <f>IF('Accuracy Statement'!$D$9&gt;10,"ERROR",0.3+1/D13*100)</f>
        <v>0.335343</v>
      </c>
      <c r="AK13" s="73">
        <f>IF('Accuracy Statement'!$D$9&gt;10,"ERROR",0.2+1/D13*100)</f>
        <v>0.23534300000000002</v>
      </c>
      <c r="AL13" s="110">
        <f>IF('Accuracy Statement'!$D$9&gt;10,"ERROR",0.3+(100*(0.0002*$AN$56)/(($C13/10)*$AN$56)))</f>
        <v>0.37068600000000002</v>
      </c>
      <c r="AM13" s="167">
        <f>IF('Accuracy Statement'!$D$9&gt;10,"ERROR",0.4+(100*(0.0002*$AN$56)/(($C13/10)*$AN$56)))</f>
        <v>0.47068600000000005</v>
      </c>
      <c r="AN13" s="110">
        <f>IF('Accuracy Statement'!$D$9&gt;10,"ERROR",0.2+(100*(0.0002*$AN$56)/(($C13/10)*$AN$56)))</f>
        <v>0.27068600000000004</v>
      </c>
      <c r="AO13" s="100">
        <f>IF('Accuracy Statement'!$D$9&gt;10,"ERROR",0.2+1/F13*100)</f>
        <v>285.91428571428571</v>
      </c>
      <c r="AP13" s="110">
        <f>IF('Accuracy Statement'!$D$9&gt;10,"ERROR",IF(C13&lt;0.25, 2.5/D13*100, 0.5+(1.25/D13)*100))</f>
        <v>0.54417875000000004</v>
      </c>
      <c r="AQ13" s="24"/>
      <c r="AR13" s="24"/>
      <c r="AS13" s="24"/>
      <c r="AT13" s="24"/>
      <c r="AU13" s="24"/>
      <c r="AV13" s="24"/>
    </row>
    <row r="14" spans="2:48">
      <c r="B14" s="87">
        <v>77.5</v>
      </c>
      <c r="C14" s="2">
        <f t="shared" si="5"/>
        <v>2.7409953880542108</v>
      </c>
      <c r="D14" s="88">
        <f t="shared" si="6"/>
        <v>2740.9953880542107</v>
      </c>
      <c r="E14" s="79" t="str">
        <f t="shared" si="0"/>
        <v xml:space="preserve">  #NA</v>
      </c>
      <c r="F14" s="31">
        <f>IF('Area Calc for Velocity value'!$P$38=1,IF(C14&gt;0.15,0.35,0.5/D14*100)," #NA")</f>
        <v>0.35</v>
      </c>
      <c r="G14" s="31">
        <f t="shared" si="1"/>
        <v>0.35</v>
      </c>
      <c r="H14" s="116">
        <f>IF(size=15,E14,IF('Area Calc for Velocity value'!$P$38=3,G14,F14))</f>
        <v>0.35</v>
      </c>
      <c r="I14" s="31" t="str">
        <f>IF('Area Calc for Velocity value'!$P$38=2,IF(size&gt;=50,IF(C14&gt;0.3,0.35,1/D14*100), " #NA"),IF(AND('Area Calc for Velocity value'!$P$38=4,size&gt;=25),IF(C14&gt;0.3,0.35,1/D14*100),"#NA"))</f>
        <v>#NA</v>
      </c>
      <c r="J14" s="119">
        <f>IF(OR('Area Calc for Velocity value'!$P$38=3, 'Area Calc for Velocity value'!$P$38=1),H14,I14)</f>
        <v>0.35</v>
      </c>
      <c r="K14" s="79">
        <f t="shared" si="7"/>
        <v>0.2</v>
      </c>
      <c r="L14" s="77" t="e">
        <f>IF(AND(size&gt;=1,#REF!&gt;0.3),0.35,1/J14*100)</f>
        <v>#REF!</v>
      </c>
      <c r="M14" s="73" t="e">
        <f>IF(AND(size&gt;16,#REF!&gt;=1),0.35,IF(AND(size&gt;16,#REF!&gt;=0.3),(0.25+(1/J14*100)),1.75/J14*100))</f>
        <v>#REF!</v>
      </c>
      <c r="N14" s="156">
        <f>IF(size&lt;=15,"#N/A",IF(OR('Area Calc for Velocity value'!$P$38=2,'Area Calc for Velocity value'!$P$38=4),"#N/A",IF(size&gt;200," #NA", K14)))</f>
        <v>0.2</v>
      </c>
      <c r="O14" s="78" t="str">
        <f t="shared" si="2"/>
        <v xml:space="preserve">  #NA</v>
      </c>
      <c r="P14" s="78">
        <f>IF('Area Calc for Velocity value'!$P$38=1,IF(C14&gt;0.15,0.3,0.5/D14*100)," #NA")</f>
        <v>0.3</v>
      </c>
      <c r="Q14" s="78">
        <f t="shared" si="3"/>
        <v>0.3</v>
      </c>
      <c r="R14" s="116">
        <f>IF(size=15,O14,IF('Area Calc for Velocity value'!$P$38=3,Q14,P14))</f>
        <v>0.3</v>
      </c>
      <c r="S14" s="116">
        <f t="shared" si="4"/>
        <v>0.15</v>
      </c>
      <c r="T14" s="77" t="e">
        <f>IF(AND(size&gt;=1,#REF!&gt;0.3),0.35,1/X14*100)</f>
        <v>#REF!</v>
      </c>
      <c r="U14" s="73" t="e">
        <f>IF(AND(size&gt;16,#REF!&gt;=1),0.35,IF(AND(size&gt;16,#REF!&gt;=0.3),(0.25+(1/X14*100)),1.75/X14*100))</f>
        <v>#REF!</v>
      </c>
      <c r="V14" s="156">
        <f>IF(size&lt;=15,"#N/A",IF(OR('Area Calc for Velocity value'!$P$38=2,'Area Calc for Velocity value'!$P$38=4),"#N/A",IF(size&gt;200," #NA", S14)))</f>
        <v>0.15</v>
      </c>
      <c r="W14" s="170">
        <f>IF('Area Calc for Velocity value'!$P$38=1,IF(size&gt;=25,IF(C14&gt;0.3,0.35,2/D14*100), " #NA"))</f>
        <v>0.35</v>
      </c>
      <c r="X14" s="159">
        <f t="shared" si="8"/>
        <v>0.35</v>
      </c>
      <c r="Z14" s="96">
        <f t="shared" si="9"/>
        <v>77.5</v>
      </c>
      <c r="AA14" s="104">
        <f>IF('Accuracy Statement'!$D$9&gt;10,"ERROR",J14)</f>
        <v>0.35</v>
      </c>
      <c r="AB14" s="1">
        <f>IF('Accuracy Statement'!$D$9&gt;10,"ERROR",N14)</f>
        <v>0.2</v>
      </c>
      <c r="AC14" s="104">
        <f>IF('Accuracy Statement'!$D$9&gt;10,"ERROR",R14)</f>
        <v>0.3</v>
      </c>
      <c r="AD14" s="1">
        <f>IF('Accuracy Statement'!$D$9&gt;10,"ERROR",V14)</f>
        <v>0.15</v>
      </c>
      <c r="AE14" s="104">
        <f>IF('Accuracy Statement'!$D$9&gt;10,"ERROR",X14)</f>
        <v>0.35</v>
      </c>
      <c r="AF14" s="107">
        <f>IF('Accuracy Statement'!$D$9&gt;10,"ERROR",0.5+(1/D14*100))</f>
        <v>0.53648309677419359</v>
      </c>
      <c r="AG14" s="1">
        <f>IF('Accuracy Statement'!$D$9&gt;10,"ERROR",0.2+(2/D14*100))</f>
        <v>0.27296619354838714</v>
      </c>
      <c r="AH14" s="107">
        <f>IF('Accuracy Statement'!$D$9&gt;10,"ERROR",IF(C14&lt;2,0.25+1/D14*100,0.25+1.5/D14*100))</f>
        <v>0.30472464516129033</v>
      </c>
      <c r="AI14" s="1">
        <f>IF('Accuracy Statement'!$D$9&gt;10,"ERROR",IF($C14&lt;4,0.15+1/$D14*100,0.18))</f>
        <v>0.18648309677419356</v>
      </c>
      <c r="AJ14" s="110">
        <f>IF('Accuracy Statement'!$D$9&gt;10,"ERROR",0.3+1/D14*100)</f>
        <v>0.33648309677419352</v>
      </c>
      <c r="AK14" s="73">
        <f>IF('Accuracy Statement'!$D$9&gt;10,"ERROR",0.2+1/D14*100)</f>
        <v>0.23648309677419357</v>
      </c>
      <c r="AL14" s="110">
        <f>IF('Accuracy Statement'!$D$9&gt;10,"ERROR",0.3+(100*(0.0002*$AN$56)/(($C14/10)*$AN$56)))</f>
        <v>0.37296619354838711</v>
      </c>
      <c r="AM14" s="167">
        <f>IF('Accuracy Statement'!$D$9&gt;10,"ERROR",0.4+(100*(0.0002*$AN$56)/(($C14/10)*$AN$56)))</f>
        <v>0.47296619354838715</v>
      </c>
      <c r="AN14" s="110">
        <f>IF('Accuracy Statement'!$D$9&gt;10,"ERROR",0.2+(100*(0.0002*$AN$56)/(($C14/10)*$AN$56)))</f>
        <v>0.27296619354838714</v>
      </c>
      <c r="AO14" s="100">
        <f>IF('Accuracy Statement'!$D$9&gt;10,"ERROR",0.2+1/F14*100)</f>
        <v>285.91428571428571</v>
      </c>
      <c r="AP14" s="110">
        <f>IF('Accuracy Statement'!$D$9&gt;10,"ERROR",IF(C14&lt;0.25, 2.5/D14*100, 0.5+(1.25/D14)*100))</f>
        <v>0.54560387096774199</v>
      </c>
      <c r="AQ14" s="24"/>
      <c r="AR14" s="24"/>
      <c r="AS14" s="24"/>
      <c r="AT14" s="24"/>
      <c r="AU14" s="24"/>
      <c r="AV14" s="24"/>
    </row>
    <row r="15" spans="2:48">
      <c r="B15" s="87">
        <v>75</v>
      </c>
      <c r="C15" s="2">
        <f t="shared" si="5"/>
        <v>2.6525761819879459</v>
      </c>
      <c r="D15" s="88">
        <f t="shared" si="6"/>
        <v>2652.5761819879458</v>
      </c>
      <c r="E15" s="79" t="str">
        <f t="shared" si="0"/>
        <v xml:space="preserve">  #NA</v>
      </c>
      <c r="F15" s="31">
        <f>IF('Area Calc for Velocity value'!$P$38=1,IF(C15&gt;0.15,0.35,0.5/D15*100)," #NA")</f>
        <v>0.35</v>
      </c>
      <c r="G15" s="31">
        <f t="shared" si="1"/>
        <v>0.35</v>
      </c>
      <c r="H15" s="116">
        <f>IF(size=15,E15,IF('Area Calc for Velocity value'!$P$38=3,G15,F15))</f>
        <v>0.35</v>
      </c>
      <c r="I15" s="31" t="str">
        <f>IF('Area Calc for Velocity value'!$P$38=2,IF(size&gt;=50,IF(C15&gt;0.3,0.35,1/D15*100), " #NA"),IF(AND('Area Calc for Velocity value'!$P$38=4,size&gt;=25),IF(C15&gt;0.3,0.35,1/D15*100),"#NA"))</f>
        <v>#NA</v>
      </c>
      <c r="J15" s="119">
        <f>IF(OR('Area Calc for Velocity value'!$P$38=3, 'Area Calc for Velocity value'!$P$38=1),H15,I15)</f>
        <v>0.35</v>
      </c>
      <c r="K15" s="79">
        <f t="shared" si="7"/>
        <v>0.2</v>
      </c>
      <c r="L15" s="77" t="e">
        <f>IF(AND(size&gt;=1,#REF!&gt;0.3),0.35,1/J15*100)</f>
        <v>#REF!</v>
      </c>
      <c r="M15" s="73" t="e">
        <f>IF(AND(size&gt;16,#REF!&gt;=1),0.35,IF(AND(size&gt;16,#REF!&gt;=0.3),(0.25+(1/J15*100)),1.75/J15*100))</f>
        <v>#REF!</v>
      </c>
      <c r="N15" s="156">
        <f>IF(size&lt;=15,"#N/A",IF(OR('Area Calc for Velocity value'!$P$38=2,'Area Calc for Velocity value'!$P$38=4),"#N/A",IF(size&gt;200," #NA", K15)))</f>
        <v>0.2</v>
      </c>
      <c r="O15" s="78" t="str">
        <f t="shared" si="2"/>
        <v xml:space="preserve">  #NA</v>
      </c>
      <c r="P15" s="78">
        <f>IF('Area Calc for Velocity value'!$P$38=1,IF(C15&gt;0.15,0.3,0.5/D15*100)," #NA")</f>
        <v>0.3</v>
      </c>
      <c r="Q15" s="78">
        <f t="shared" si="3"/>
        <v>0.3</v>
      </c>
      <c r="R15" s="116">
        <f>IF(size=15,O15,IF('Area Calc for Velocity value'!$P$38=3,Q15,P15))</f>
        <v>0.3</v>
      </c>
      <c r="S15" s="116">
        <f t="shared" si="4"/>
        <v>0.15</v>
      </c>
      <c r="T15" s="77" t="e">
        <f>IF(AND(size&gt;=1,#REF!&gt;0.3),0.35,1/X15*100)</f>
        <v>#REF!</v>
      </c>
      <c r="U15" s="73" t="e">
        <f>IF(AND(size&gt;16,#REF!&gt;=1),0.35,IF(AND(size&gt;16,#REF!&gt;=0.3),(0.25+(1/X15*100)),1.75/X15*100))</f>
        <v>#REF!</v>
      </c>
      <c r="V15" s="156">
        <f>IF(size&lt;=15,"#N/A",IF(OR('Area Calc for Velocity value'!$P$38=2,'Area Calc for Velocity value'!$P$38=4),"#N/A",IF(size&gt;200," #NA", S15)))</f>
        <v>0.15</v>
      </c>
      <c r="W15" s="170">
        <f>IF('Area Calc for Velocity value'!$P$38=1,IF(size&gt;=25,IF(C15&gt;0.3,0.35,2/D15*100), " #NA"))</f>
        <v>0.35</v>
      </c>
      <c r="X15" s="159">
        <f t="shared" si="8"/>
        <v>0.35</v>
      </c>
      <c r="Z15" s="96">
        <f t="shared" si="9"/>
        <v>75</v>
      </c>
      <c r="AA15" s="104">
        <f>IF('Accuracy Statement'!$D$9&gt;10,"ERROR",J15)</f>
        <v>0.35</v>
      </c>
      <c r="AB15" s="1">
        <f>IF('Accuracy Statement'!$D$9&gt;10,"ERROR",N15)</f>
        <v>0.2</v>
      </c>
      <c r="AC15" s="104">
        <f>IF('Accuracy Statement'!$D$9&gt;10,"ERROR",R15)</f>
        <v>0.3</v>
      </c>
      <c r="AD15" s="1">
        <f>IF('Accuracy Statement'!$D$9&gt;10,"ERROR",V15)</f>
        <v>0.15</v>
      </c>
      <c r="AE15" s="104">
        <f>IF('Accuracy Statement'!$D$9&gt;10,"ERROR",X15)</f>
        <v>0.35</v>
      </c>
      <c r="AF15" s="107">
        <f>IF('Accuracy Statement'!$D$9&gt;10,"ERROR",0.5+(1/D15*100))</f>
        <v>0.53769920000000004</v>
      </c>
      <c r="AG15" s="1">
        <f>IF('Accuracy Statement'!$D$9&gt;10,"ERROR",0.2+(2/D15*100))</f>
        <v>0.27539840000000004</v>
      </c>
      <c r="AH15" s="107">
        <f>IF('Accuracy Statement'!$D$9&gt;10,"ERROR",IF(C15&lt;2,0.25+1/D15*100,0.25+1.5/D15*100))</f>
        <v>0.30654880000000001</v>
      </c>
      <c r="AI15" s="1">
        <f>IF('Accuracy Statement'!$D$9&gt;10,"ERROR",IF($C15&lt;4,0.15+1/$D15*100,0.18))</f>
        <v>0.18769920000000001</v>
      </c>
      <c r="AJ15" s="110">
        <f>IF('Accuracy Statement'!$D$9&gt;10,"ERROR",0.3+1/D15*100)</f>
        <v>0.33769919999999998</v>
      </c>
      <c r="AK15" s="73">
        <f>IF('Accuracy Statement'!$D$9&gt;10,"ERROR",0.2+1/D15*100)</f>
        <v>0.23769920000000003</v>
      </c>
      <c r="AL15" s="110">
        <f>IF('Accuracy Statement'!$D$9&gt;10,"ERROR",0.3+(100*(0.0002*$AN$56)/(($C15/10)*$AN$56)))</f>
        <v>0.37539840000000002</v>
      </c>
      <c r="AM15" s="167">
        <f>IF('Accuracy Statement'!$D$9&gt;10,"ERROR",0.4+(100*(0.0002*$AN$56)/(($C15/10)*$AN$56)))</f>
        <v>0.47539840000000005</v>
      </c>
      <c r="AN15" s="110">
        <f>IF('Accuracy Statement'!$D$9&gt;10,"ERROR",0.2+(100*(0.0002*$AN$56)/(($C15/10)*$AN$56)))</f>
        <v>0.27539840000000004</v>
      </c>
      <c r="AO15" s="100">
        <f>IF('Accuracy Statement'!$D$9&gt;10,"ERROR",0.2+1/F15*100)</f>
        <v>285.91428571428571</v>
      </c>
      <c r="AP15" s="110">
        <f>IF('Accuracy Statement'!$D$9&gt;10,"ERROR",IF(C15&lt;0.25, 2.5/D15*100, 0.5+(1.25/D15)*100))</f>
        <v>0.54712400000000005</v>
      </c>
      <c r="AQ15" s="24"/>
      <c r="AR15" s="24"/>
      <c r="AS15" s="24"/>
      <c r="AT15" s="24"/>
      <c r="AU15" s="24"/>
      <c r="AV15" s="24"/>
    </row>
    <row r="16" spans="2:48">
      <c r="B16" s="87">
        <v>72.5</v>
      </c>
      <c r="C16" s="2">
        <f t="shared" si="5"/>
        <v>2.5641569759216809</v>
      </c>
      <c r="D16" s="88">
        <f t="shared" si="6"/>
        <v>2564.1569759216809</v>
      </c>
      <c r="E16" s="79" t="str">
        <f t="shared" si="0"/>
        <v xml:space="preserve">  #NA</v>
      </c>
      <c r="F16" s="31">
        <f>IF('Area Calc for Velocity value'!$P$38=1,IF(C16&gt;0.15,0.35,0.5/D16*100)," #NA")</f>
        <v>0.35</v>
      </c>
      <c r="G16" s="31">
        <f t="shared" si="1"/>
        <v>0.35</v>
      </c>
      <c r="H16" s="116">
        <f>IF(size=15,E16,IF('Area Calc for Velocity value'!$P$38=3,G16,F16))</f>
        <v>0.35</v>
      </c>
      <c r="I16" s="31" t="str">
        <f>IF('Area Calc for Velocity value'!$P$38=2,IF(size&gt;=50,IF(C16&gt;0.3,0.35,1/D16*100), " #NA"),IF(AND('Area Calc for Velocity value'!$P$38=4,size&gt;=25),IF(C16&gt;0.3,0.35,1/D16*100),"#NA"))</f>
        <v>#NA</v>
      </c>
      <c r="J16" s="119">
        <f>IF(OR('Area Calc for Velocity value'!$P$38=3, 'Area Calc for Velocity value'!$P$38=1),H16,I16)</f>
        <v>0.35</v>
      </c>
      <c r="K16" s="79">
        <f t="shared" si="7"/>
        <v>0.2</v>
      </c>
      <c r="L16" s="77" t="e">
        <f>IF(AND(size&gt;=1,#REF!&gt;0.3),0.35,1/J16*100)</f>
        <v>#REF!</v>
      </c>
      <c r="M16" s="73" t="e">
        <f>IF(AND(size&gt;16,#REF!&gt;=1),0.35,IF(AND(size&gt;16,#REF!&gt;=0.3),(0.25+(1/J16*100)),1.75/J16*100))</f>
        <v>#REF!</v>
      </c>
      <c r="N16" s="156">
        <f>IF(size&lt;=15,"#N/A",IF(OR('Area Calc for Velocity value'!$P$38=2,'Area Calc for Velocity value'!$P$38=4),"#N/A",IF(size&gt;200," #NA", K16)))</f>
        <v>0.2</v>
      </c>
      <c r="O16" s="78" t="str">
        <f t="shared" si="2"/>
        <v xml:space="preserve">  #NA</v>
      </c>
      <c r="P16" s="78">
        <f>IF('Area Calc for Velocity value'!$P$38=1,IF(C16&gt;0.15,0.3,0.5/D16*100)," #NA")</f>
        <v>0.3</v>
      </c>
      <c r="Q16" s="78">
        <f t="shared" si="3"/>
        <v>0.3</v>
      </c>
      <c r="R16" s="116">
        <f>IF(size=15,O16,IF('Area Calc for Velocity value'!$P$38=3,Q16,P16))</f>
        <v>0.3</v>
      </c>
      <c r="S16" s="116">
        <f t="shared" si="4"/>
        <v>0.15</v>
      </c>
      <c r="T16" s="77" t="e">
        <f>IF(AND(size&gt;=1,#REF!&gt;0.3),0.35,1/X16*100)</f>
        <v>#REF!</v>
      </c>
      <c r="U16" s="73" t="e">
        <f>IF(AND(size&gt;16,#REF!&gt;=1),0.35,IF(AND(size&gt;16,#REF!&gt;=0.3),(0.25+(1/X16*100)),1.75/X16*100))</f>
        <v>#REF!</v>
      </c>
      <c r="V16" s="156">
        <f>IF(size&lt;=15,"#N/A",IF(OR('Area Calc for Velocity value'!$P$38=2,'Area Calc for Velocity value'!$P$38=4),"#N/A",IF(size&gt;200," #NA", S16)))</f>
        <v>0.15</v>
      </c>
      <c r="W16" s="170">
        <f>IF('Area Calc for Velocity value'!$P$38=1,IF(size&gt;=25,IF(C16&gt;0.3,0.35,2/D16*100), " #NA"))</f>
        <v>0.35</v>
      </c>
      <c r="X16" s="159">
        <f t="shared" si="8"/>
        <v>0.35</v>
      </c>
      <c r="Z16" s="96">
        <f t="shared" si="9"/>
        <v>72.5</v>
      </c>
      <c r="AA16" s="104">
        <f>IF('Accuracy Statement'!$D$9&gt;10,"ERROR",J16)</f>
        <v>0.35</v>
      </c>
      <c r="AB16" s="1">
        <f>IF('Accuracy Statement'!$D$9&gt;10,"ERROR",N16)</f>
        <v>0.2</v>
      </c>
      <c r="AC16" s="104">
        <f>IF('Accuracy Statement'!$D$9&gt;10,"ERROR",R16)</f>
        <v>0.3</v>
      </c>
      <c r="AD16" s="1">
        <f>IF('Accuracy Statement'!$D$9&gt;10,"ERROR",V16)</f>
        <v>0.15</v>
      </c>
      <c r="AE16" s="104">
        <f>IF('Accuracy Statement'!$D$9&gt;10,"ERROR",X16)</f>
        <v>0.35</v>
      </c>
      <c r="AF16" s="107">
        <f>IF('Accuracy Statement'!$D$9&gt;10,"ERROR",0.5+(1/D16*100))</f>
        <v>0.53899917241379314</v>
      </c>
      <c r="AG16" s="1">
        <f>IF('Accuracy Statement'!$D$9&gt;10,"ERROR",0.2+(2/D16*100))</f>
        <v>0.27799834482758623</v>
      </c>
      <c r="AH16" s="107">
        <f>IF('Accuracy Statement'!$D$9&gt;10,"ERROR",IF(C16&lt;2,0.25+1/D16*100,0.25+1.5/D16*100))</f>
        <v>0.30849875862068965</v>
      </c>
      <c r="AI16" s="1">
        <f>IF('Accuracy Statement'!$D$9&gt;10,"ERROR",IF($C16&lt;4,0.15+1/$D16*100,0.18))</f>
        <v>0.1889991724137931</v>
      </c>
      <c r="AJ16" s="110">
        <f>IF('Accuracy Statement'!$D$9&gt;10,"ERROR",0.3+1/D16*100)</f>
        <v>0.33899917241379313</v>
      </c>
      <c r="AK16" s="73">
        <f>IF('Accuracy Statement'!$D$9&gt;10,"ERROR",0.2+1/D16*100)</f>
        <v>0.23899917241379312</v>
      </c>
      <c r="AL16" s="110">
        <f>IF('Accuracy Statement'!$D$9&gt;10,"ERROR",0.3+(100*(0.0002*$AN$56)/(($C16/10)*$AN$56)))</f>
        <v>0.37799834482758621</v>
      </c>
      <c r="AM16" s="167">
        <f>IF('Accuracy Statement'!$D$9&gt;10,"ERROR",0.4+(100*(0.0002*$AN$56)/(($C16/10)*$AN$56)))</f>
        <v>0.47799834482758624</v>
      </c>
      <c r="AN16" s="110">
        <f>IF('Accuracy Statement'!$D$9&gt;10,"ERROR",0.2+(100*(0.0002*$AN$56)/(($C16/10)*$AN$56)))</f>
        <v>0.27799834482758623</v>
      </c>
      <c r="AO16" s="100">
        <f>IF('Accuracy Statement'!$D$9&gt;10,"ERROR",0.2+1/F16*100)</f>
        <v>285.91428571428571</v>
      </c>
      <c r="AP16" s="110">
        <f>IF('Accuracy Statement'!$D$9&gt;10,"ERROR",IF(C16&lt;0.25, 2.5/D16*100, 0.5+(1.25/D16)*100))</f>
        <v>0.54874896551724139</v>
      </c>
      <c r="AQ16" s="24"/>
      <c r="AR16" s="24"/>
      <c r="AS16" s="24"/>
      <c r="AT16" s="24"/>
      <c r="AU16" s="24"/>
      <c r="AV16" s="24"/>
    </row>
    <row r="17" spans="2:48">
      <c r="B17" s="87">
        <v>70</v>
      </c>
      <c r="C17" s="2">
        <f t="shared" si="5"/>
        <v>2.4757377698554159</v>
      </c>
      <c r="D17" s="88">
        <f t="shared" si="6"/>
        <v>2475.737769855416</v>
      </c>
      <c r="E17" s="79" t="str">
        <f t="shared" si="0"/>
        <v xml:space="preserve">  #NA</v>
      </c>
      <c r="F17" s="31">
        <f>IF('Area Calc for Velocity value'!$P$38=1,IF(C17&gt;0.15,0.35,0.5/D17*100)," #NA")</f>
        <v>0.35</v>
      </c>
      <c r="G17" s="31">
        <f t="shared" si="1"/>
        <v>0.35</v>
      </c>
      <c r="H17" s="116">
        <f>IF(size=15,E17,IF('Area Calc for Velocity value'!$P$38=3,G17,F17))</f>
        <v>0.35</v>
      </c>
      <c r="I17" s="31" t="str">
        <f>IF('Area Calc for Velocity value'!$P$38=2,IF(size&gt;=50,IF(C17&gt;0.3,0.35,1/D17*100), " #NA"),IF(AND('Area Calc for Velocity value'!$P$38=4,size&gt;=25),IF(C17&gt;0.3,0.35,1/D17*100),"#NA"))</f>
        <v>#NA</v>
      </c>
      <c r="J17" s="119">
        <f>IF(OR('Area Calc for Velocity value'!$P$38=3, 'Area Calc for Velocity value'!$P$38=1),H17,I17)</f>
        <v>0.35</v>
      </c>
      <c r="K17" s="79">
        <f t="shared" si="7"/>
        <v>0.2</v>
      </c>
      <c r="L17" s="77" t="e">
        <f>IF(AND(size&gt;=1,#REF!&gt;0.3),0.35,1/J17*100)</f>
        <v>#REF!</v>
      </c>
      <c r="M17" s="73" t="e">
        <f>IF(AND(size&gt;16,#REF!&gt;=1),0.35,IF(AND(size&gt;16,#REF!&gt;=0.3),(0.25+(1/J17*100)),1.75/J17*100))</f>
        <v>#REF!</v>
      </c>
      <c r="N17" s="156">
        <f>IF(size&lt;=15,"#N/A",IF(OR('Area Calc for Velocity value'!$P$38=2,'Area Calc for Velocity value'!$P$38=4),"#N/A",IF(size&gt;200," #NA", K17)))</f>
        <v>0.2</v>
      </c>
      <c r="O17" s="78" t="str">
        <f t="shared" si="2"/>
        <v xml:space="preserve">  #NA</v>
      </c>
      <c r="P17" s="78">
        <f>IF('Area Calc for Velocity value'!$P$38=1,IF(C17&gt;0.15,0.3,0.5/D17*100)," #NA")</f>
        <v>0.3</v>
      </c>
      <c r="Q17" s="78">
        <f t="shared" si="3"/>
        <v>0.3</v>
      </c>
      <c r="R17" s="116">
        <f>IF(size=15,O17,IF('Area Calc for Velocity value'!$P$38=3,Q17,P17))</f>
        <v>0.3</v>
      </c>
      <c r="S17" s="116">
        <f t="shared" si="4"/>
        <v>0.15</v>
      </c>
      <c r="T17" s="77" t="e">
        <f>IF(AND(size&gt;=1,#REF!&gt;0.3),0.35,1/X17*100)</f>
        <v>#REF!</v>
      </c>
      <c r="U17" s="73" t="e">
        <f>IF(AND(size&gt;16,#REF!&gt;=1),0.35,IF(AND(size&gt;16,#REF!&gt;=0.3),(0.25+(1/X17*100)),1.75/X17*100))</f>
        <v>#REF!</v>
      </c>
      <c r="V17" s="156">
        <f>IF(size&lt;=15,"#N/A",IF(OR('Area Calc for Velocity value'!$P$38=2,'Area Calc for Velocity value'!$P$38=4),"#N/A",IF(size&gt;200," #NA", S17)))</f>
        <v>0.15</v>
      </c>
      <c r="W17" s="170">
        <f>IF('Area Calc for Velocity value'!$P$38=1,IF(size&gt;=25,IF(C17&gt;0.3,0.35,2/D17*100), " #NA"))</f>
        <v>0.35</v>
      </c>
      <c r="X17" s="159">
        <f t="shared" si="8"/>
        <v>0.35</v>
      </c>
      <c r="Z17" s="96">
        <f t="shared" si="9"/>
        <v>70</v>
      </c>
      <c r="AA17" s="104">
        <f>IF('Accuracy Statement'!$D$9&gt;10,"ERROR",J17)</f>
        <v>0.35</v>
      </c>
      <c r="AB17" s="1">
        <f>IF('Accuracy Statement'!$D$9&gt;10,"ERROR",N17)</f>
        <v>0.2</v>
      </c>
      <c r="AC17" s="104">
        <f>IF('Accuracy Statement'!$D$9&gt;10,"ERROR",R17)</f>
        <v>0.3</v>
      </c>
      <c r="AD17" s="1">
        <f>IF('Accuracy Statement'!$D$9&gt;10,"ERROR",V17)</f>
        <v>0.15</v>
      </c>
      <c r="AE17" s="104">
        <f>IF('Accuracy Statement'!$D$9&gt;10,"ERROR",X17)</f>
        <v>0.35</v>
      </c>
      <c r="AF17" s="107">
        <f>IF('Accuracy Statement'!$D$9&gt;10,"ERROR",0.5+(1/D17*100))</f>
        <v>0.54039199999999998</v>
      </c>
      <c r="AG17" s="1">
        <f>IF('Accuracy Statement'!$D$9&gt;10,"ERROR",0.2+(2/D17*100))</f>
        <v>0.28078400000000003</v>
      </c>
      <c r="AH17" s="107">
        <f>IF('Accuracy Statement'!$D$9&gt;10,"ERROR",IF(C17&lt;2,0.25+1/D17*100,0.25+1.5/D17*100))</f>
        <v>0.31058800000000003</v>
      </c>
      <c r="AI17" s="1">
        <f>IF('Accuracy Statement'!$D$9&gt;10,"ERROR",IF($C17&lt;4,0.15+1/$D17*100,0.18))</f>
        <v>0.19039200000000001</v>
      </c>
      <c r="AJ17" s="110">
        <f>IF('Accuracy Statement'!$D$9&gt;10,"ERROR",0.3+1/D17*100)</f>
        <v>0.34039200000000003</v>
      </c>
      <c r="AK17" s="73">
        <f>IF('Accuracy Statement'!$D$9&gt;10,"ERROR",0.2+1/D17*100)</f>
        <v>0.24039200000000002</v>
      </c>
      <c r="AL17" s="110">
        <f>IF('Accuracy Statement'!$D$9&gt;10,"ERROR",0.3+(100*(0.0002*$AN$56)/(($C17/10)*$AN$56)))</f>
        <v>0.38078400000000001</v>
      </c>
      <c r="AM17" s="167">
        <f>IF('Accuracy Statement'!$D$9&gt;10,"ERROR",0.4+(100*(0.0002*$AN$56)/(($C17/10)*$AN$56)))</f>
        <v>0.48078400000000004</v>
      </c>
      <c r="AN17" s="110">
        <f>IF('Accuracy Statement'!$D$9&gt;10,"ERROR",0.2+(100*(0.0002*$AN$56)/(($C17/10)*$AN$56)))</f>
        <v>0.28078400000000003</v>
      </c>
      <c r="AO17" s="100">
        <f>IF('Accuracy Statement'!$D$9&gt;10,"ERROR",0.2+1/F17*100)</f>
        <v>285.91428571428571</v>
      </c>
      <c r="AP17" s="110">
        <f>IF('Accuracy Statement'!$D$9&gt;10,"ERROR",IF(C17&lt;0.25, 2.5/D17*100, 0.5+(1.25/D17)*100))</f>
        <v>0.55049000000000003</v>
      </c>
      <c r="AQ17" s="24"/>
      <c r="AR17" s="24"/>
      <c r="AS17" s="24"/>
      <c r="AT17" s="24"/>
      <c r="AU17" s="24"/>
      <c r="AV17" s="24"/>
    </row>
    <row r="18" spans="2:48">
      <c r="B18" s="87">
        <v>67.5</v>
      </c>
      <c r="C18" s="2">
        <f t="shared" si="5"/>
        <v>2.3873185637891514</v>
      </c>
      <c r="D18" s="88">
        <f t="shared" si="6"/>
        <v>2387.3185637891515</v>
      </c>
      <c r="E18" s="79" t="str">
        <f t="shared" si="0"/>
        <v xml:space="preserve">  #NA</v>
      </c>
      <c r="F18" s="31">
        <f>IF('Area Calc for Velocity value'!$P$38=1,IF(C18&gt;0.15,0.35,0.5/D18*100)," #NA")</f>
        <v>0.35</v>
      </c>
      <c r="G18" s="31">
        <f t="shared" si="1"/>
        <v>0.35</v>
      </c>
      <c r="H18" s="116">
        <f>IF(size=15,E18,IF('Area Calc for Velocity value'!$P$38=3,G18,F18))</f>
        <v>0.35</v>
      </c>
      <c r="I18" s="31" t="str">
        <f>IF('Area Calc for Velocity value'!$P$38=2,IF(size&gt;=50,IF(C18&gt;0.3,0.35,1/D18*100), " #NA"),IF(AND('Area Calc for Velocity value'!$P$38=4,size&gt;=25),IF(C18&gt;0.3,0.35,1/D18*100),"#NA"))</f>
        <v>#NA</v>
      </c>
      <c r="J18" s="119">
        <f>IF(OR('Area Calc for Velocity value'!$P$38=3, 'Area Calc for Velocity value'!$P$38=1),H18,I18)</f>
        <v>0.35</v>
      </c>
      <c r="K18" s="79">
        <f t="shared" si="7"/>
        <v>0.2</v>
      </c>
      <c r="L18" s="77" t="e">
        <f>IF(AND(size&gt;=1,#REF!&gt;0.3),0.35,1/J18*100)</f>
        <v>#REF!</v>
      </c>
      <c r="M18" s="73" t="e">
        <f>IF(AND(size&gt;16,#REF!&gt;=1),0.35,IF(AND(size&gt;16,#REF!&gt;=0.3),(0.25+(1/J18*100)),1.75/J18*100))</f>
        <v>#REF!</v>
      </c>
      <c r="N18" s="156">
        <f>IF(size&lt;=15,"#N/A",IF(OR('Area Calc for Velocity value'!$P$38=2,'Area Calc for Velocity value'!$P$38=4),"#N/A",IF(size&gt;200," #NA", K18)))</f>
        <v>0.2</v>
      </c>
      <c r="O18" s="78" t="str">
        <f t="shared" si="2"/>
        <v xml:space="preserve">  #NA</v>
      </c>
      <c r="P18" s="78">
        <f>IF('Area Calc for Velocity value'!$P$38=1,IF(C18&gt;0.15,0.3,0.5/D18*100)," #NA")</f>
        <v>0.3</v>
      </c>
      <c r="Q18" s="78">
        <f t="shared" si="3"/>
        <v>0.3</v>
      </c>
      <c r="R18" s="116">
        <f>IF(size=15,O18,IF('Area Calc for Velocity value'!$P$38=3,Q18,P18))</f>
        <v>0.3</v>
      </c>
      <c r="S18" s="116">
        <f t="shared" si="4"/>
        <v>0.15</v>
      </c>
      <c r="T18" s="77" t="e">
        <f>IF(AND(size&gt;=1,#REF!&gt;0.3),0.35,1/X18*100)</f>
        <v>#REF!</v>
      </c>
      <c r="U18" s="73" t="e">
        <f>IF(AND(size&gt;16,#REF!&gt;=1),0.35,IF(AND(size&gt;16,#REF!&gt;=0.3),(0.25+(1/X18*100)),1.75/X18*100))</f>
        <v>#REF!</v>
      </c>
      <c r="V18" s="156">
        <f>IF(size&lt;=15,"#N/A",IF(OR('Area Calc for Velocity value'!$P$38=2,'Area Calc for Velocity value'!$P$38=4),"#N/A",IF(size&gt;200," #NA", S18)))</f>
        <v>0.15</v>
      </c>
      <c r="W18" s="170">
        <f>IF('Area Calc for Velocity value'!$P$38=1,IF(size&gt;=25,IF(C18&gt;0.3,0.35,2/D18*100), " #NA"))</f>
        <v>0.35</v>
      </c>
      <c r="X18" s="159">
        <f t="shared" si="8"/>
        <v>0.35</v>
      </c>
      <c r="Z18" s="96">
        <f t="shared" si="9"/>
        <v>67.5</v>
      </c>
      <c r="AA18" s="104">
        <f>IF('Accuracy Statement'!$D$9&gt;10,"ERROR",J18)</f>
        <v>0.35</v>
      </c>
      <c r="AB18" s="1">
        <f>IF('Accuracy Statement'!$D$9&gt;10,"ERROR",N18)</f>
        <v>0.2</v>
      </c>
      <c r="AC18" s="104">
        <f>IF('Accuracy Statement'!$D$9&gt;10,"ERROR",R18)</f>
        <v>0.3</v>
      </c>
      <c r="AD18" s="1">
        <f>IF('Accuracy Statement'!$D$9&gt;10,"ERROR",V18)</f>
        <v>0.15</v>
      </c>
      <c r="AE18" s="104">
        <f>IF('Accuracy Statement'!$D$9&gt;10,"ERROR",X18)</f>
        <v>0.35</v>
      </c>
      <c r="AF18" s="107">
        <f>IF('Accuracy Statement'!$D$9&gt;10,"ERROR",0.5+(1/D18*100))</f>
        <v>0.54188800000000004</v>
      </c>
      <c r="AG18" s="1">
        <f>IF('Accuracy Statement'!$D$9&gt;10,"ERROR",0.2+(2/D18*100))</f>
        <v>0.28377600000000003</v>
      </c>
      <c r="AH18" s="107">
        <f>IF('Accuracy Statement'!$D$9&gt;10,"ERROR",IF(C18&lt;2,0.25+1/D18*100,0.25+1.5/D18*100))</f>
        <v>0.312832</v>
      </c>
      <c r="AI18" s="1">
        <f>IF('Accuracy Statement'!$D$9&gt;10,"ERROR",IF($C18&lt;4,0.15+1/$D18*100,0.18))</f>
        <v>0.191888</v>
      </c>
      <c r="AJ18" s="110">
        <f>IF('Accuracy Statement'!$D$9&gt;10,"ERROR",0.3+1/D18*100)</f>
        <v>0.34188799999999997</v>
      </c>
      <c r="AK18" s="73">
        <f>IF('Accuracy Statement'!$D$9&gt;10,"ERROR",0.2+1/D18*100)</f>
        <v>0.24188800000000002</v>
      </c>
      <c r="AL18" s="110">
        <f>IF('Accuracy Statement'!$D$9&gt;10,"ERROR",0.3+(100*(0.0002*$AN$56)/(($C18/10)*$AN$56)))</f>
        <v>0.38377600000000001</v>
      </c>
      <c r="AM18" s="167">
        <f>IF('Accuracy Statement'!$D$9&gt;10,"ERROR",0.4+(100*(0.0002*$AN$56)/(($C18/10)*$AN$56)))</f>
        <v>0.48377600000000004</v>
      </c>
      <c r="AN18" s="110">
        <f>IF('Accuracy Statement'!$D$9&gt;10,"ERROR",0.2+(100*(0.0002*$AN$56)/(($C18/10)*$AN$56)))</f>
        <v>0.28377600000000003</v>
      </c>
      <c r="AO18" s="100">
        <f>IF('Accuracy Statement'!$D$9&gt;10,"ERROR",0.2+1/F18*100)</f>
        <v>285.91428571428571</v>
      </c>
      <c r="AP18" s="110">
        <f>IF('Accuracy Statement'!$D$9&gt;10,"ERROR",IF(C18&lt;0.25, 2.5/D18*100, 0.5+(1.25/D18)*100))</f>
        <v>0.55235999999999996</v>
      </c>
      <c r="AQ18" s="24"/>
      <c r="AR18" s="24"/>
      <c r="AS18" s="24"/>
      <c r="AT18" s="24"/>
      <c r="AU18" s="24"/>
      <c r="AV18" s="24"/>
    </row>
    <row r="19" spans="2:48">
      <c r="B19" s="87">
        <v>65</v>
      </c>
      <c r="C19" s="2">
        <f t="shared" si="5"/>
        <v>2.2988993577228864</v>
      </c>
      <c r="D19" s="88">
        <f t="shared" si="6"/>
        <v>2298.8993577228866</v>
      </c>
      <c r="E19" s="79" t="str">
        <f t="shared" si="0"/>
        <v xml:space="preserve">  #NA</v>
      </c>
      <c r="F19" s="31">
        <f>IF('Area Calc for Velocity value'!$P$38=1,IF(C19&gt;0.15,0.35,0.5/D19*100)," #NA")</f>
        <v>0.35</v>
      </c>
      <c r="G19" s="31">
        <f t="shared" si="1"/>
        <v>0.35</v>
      </c>
      <c r="H19" s="116">
        <f>IF(size=15,E19,IF('Area Calc for Velocity value'!$P$38=3,G19,F19))</f>
        <v>0.35</v>
      </c>
      <c r="I19" s="31" t="str">
        <f>IF('Area Calc for Velocity value'!$P$38=2,IF(size&gt;=50,IF(C19&gt;0.3,0.35,1/D19*100), " #NA"),IF(AND('Area Calc for Velocity value'!$P$38=4,size&gt;=25),IF(C19&gt;0.3,0.35,1/D19*100),"#NA"))</f>
        <v>#NA</v>
      </c>
      <c r="J19" s="119">
        <f>IF(OR('Area Calc for Velocity value'!$P$38=3, 'Area Calc for Velocity value'!$P$38=1),H19,I19)</f>
        <v>0.35</v>
      </c>
      <c r="K19" s="79">
        <f t="shared" si="7"/>
        <v>0.2</v>
      </c>
      <c r="L19" s="77" t="e">
        <f>IF(AND(size&gt;=1,#REF!&gt;0.3),0.35,1/J19*100)</f>
        <v>#REF!</v>
      </c>
      <c r="M19" s="73" t="e">
        <f>IF(AND(size&gt;16,#REF!&gt;=1),0.35,IF(AND(size&gt;16,#REF!&gt;=0.3),(0.25+(1/J19*100)),1.75/J19*100))</f>
        <v>#REF!</v>
      </c>
      <c r="N19" s="156">
        <f>IF(size&lt;=15,"#N/A",IF(OR('Area Calc for Velocity value'!$P$38=2,'Area Calc for Velocity value'!$P$38=4),"#N/A",IF(size&gt;200," #NA", K19)))</f>
        <v>0.2</v>
      </c>
      <c r="O19" s="78" t="str">
        <f t="shared" si="2"/>
        <v xml:space="preserve">  #NA</v>
      </c>
      <c r="P19" s="78">
        <f>IF('Area Calc for Velocity value'!$P$38=1,IF(C19&gt;0.15,0.3,0.5/D19*100)," #NA")</f>
        <v>0.3</v>
      </c>
      <c r="Q19" s="78">
        <f t="shared" si="3"/>
        <v>0.3</v>
      </c>
      <c r="R19" s="116">
        <f>IF(size=15,O19,IF('Area Calc for Velocity value'!$P$38=3,Q19,P19))</f>
        <v>0.3</v>
      </c>
      <c r="S19" s="116">
        <f t="shared" si="4"/>
        <v>0.15</v>
      </c>
      <c r="T19" s="77" t="e">
        <f>IF(AND(size&gt;=1,#REF!&gt;0.3),0.35,1/X19*100)</f>
        <v>#REF!</v>
      </c>
      <c r="U19" s="73" t="e">
        <f>IF(AND(size&gt;16,#REF!&gt;=1),0.35,IF(AND(size&gt;16,#REF!&gt;=0.3),(0.25+(1/X19*100)),1.75/X19*100))</f>
        <v>#REF!</v>
      </c>
      <c r="V19" s="156">
        <f>IF(size&lt;=15,"#N/A",IF(OR('Area Calc for Velocity value'!$P$38=2,'Area Calc for Velocity value'!$P$38=4),"#N/A",IF(size&gt;200," #NA", S19)))</f>
        <v>0.15</v>
      </c>
      <c r="W19" s="170">
        <f>IF('Area Calc for Velocity value'!$P$38=1,IF(size&gt;=25,IF(C19&gt;0.3,0.35,2/D19*100), " #NA"))</f>
        <v>0.35</v>
      </c>
      <c r="X19" s="159">
        <f t="shared" si="8"/>
        <v>0.35</v>
      </c>
      <c r="Z19" s="96">
        <f t="shared" si="9"/>
        <v>65</v>
      </c>
      <c r="AA19" s="104">
        <f>IF('Accuracy Statement'!$D$9&gt;10,"ERROR",J19)</f>
        <v>0.35</v>
      </c>
      <c r="AB19" s="1">
        <f>IF('Accuracy Statement'!$D$9&gt;10,"ERROR",N19)</f>
        <v>0.2</v>
      </c>
      <c r="AC19" s="104">
        <f>IF('Accuracy Statement'!$D$9&gt;10,"ERROR",R19)</f>
        <v>0.3</v>
      </c>
      <c r="AD19" s="1">
        <f>IF('Accuracy Statement'!$D$9&gt;10,"ERROR",V19)</f>
        <v>0.15</v>
      </c>
      <c r="AE19" s="104">
        <f>IF('Accuracy Statement'!$D$9&gt;10,"ERROR",X19)</f>
        <v>0.35</v>
      </c>
      <c r="AF19" s="107">
        <f>IF('Accuracy Statement'!$D$9&gt;10,"ERROR",0.5+(1/D19*100))</f>
        <v>0.54349907692307697</v>
      </c>
      <c r="AG19" s="1">
        <f>IF('Accuracy Statement'!$D$9&gt;10,"ERROR",0.2+(2/D19*100))</f>
        <v>0.2869981538461539</v>
      </c>
      <c r="AH19" s="107">
        <f>IF('Accuracy Statement'!$D$9&gt;10,"ERROR",IF(C19&lt;2,0.25+1/D19*100,0.25+1.5/D19*100))</f>
        <v>0.3152486153846154</v>
      </c>
      <c r="AI19" s="1">
        <f>IF('Accuracy Statement'!$D$9&gt;10,"ERROR",IF($C19&lt;4,0.15+1/$D19*100,0.18))</f>
        <v>0.19349907692307694</v>
      </c>
      <c r="AJ19" s="110">
        <f>IF('Accuracy Statement'!$D$9&gt;10,"ERROR",0.3+1/D19*100)</f>
        <v>0.34349907692307691</v>
      </c>
      <c r="AK19" s="73">
        <f>IF('Accuracy Statement'!$D$9&gt;10,"ERROR",0.2+1/D19*100)</f>
        <v>0.24349907692307693</v>
      </c>
      <c r="AL19" s="110">
        <f>IF('Accuracy Statement'!$D$9&gt;10,"ERROR",0.3+(100*(0.0002*$AN$56)/(($C19/10)*$AN$56)))</f>
        <v>0.38699815384615388</v>
      </c>
      <c r="AM19" s="167">
        <f>IF('Accuracy Statement'!$D$9&gt;10,"ERROR",0.4+(100*(0.0002*$AN$56)/(($C19/10)*$AN$56)))</f>
        <v>0.48699815384615386</v>
      </c>
      <c r="AN19" s="110">
        <f>IF('Accuracy Statement'!$D$9&gt;10,"ERROR",0.2+(100*(0.0002*$AN$56)/(($C19/10)*$AN$56)))</f>
        <v>0.2869981538461539</v>
      </c>
      <c r="AO19" s="100">
        <f>IF('Accuracy Statement'!$D$9&gt;10,"ERROR",0.2+1/F19*100)</f>
        <v>285.91428571428571</v>
      </c>
      <c r="AP19" s="110">
        <f>IF('Accuracy Statement'!$D$9&gt;10,"ERROR",IF(C19&lt;0.25, 2.5/D19*100, 0.5+(1.25/D19)*100))</f>
        <v>0.55437384615384611</v>
      </c>
    </row>
    <row r="20" spans="2:48">
      <c r="B20" s="87">
        <v>62.5</v>
      </c>
      <c r="C20" s="2">
        <f t="shared" si="5"/>
        <v>2.2104801516566215</v>
      </c>
      <c r="D20" s="88">
        <f t="shared" si="6"/>
        <v>2210.4801516566213</v>
      </c>
      <c r="E20" s="79" t="str">
        <f t="shared" si="0"/>
        <v xml:space="preserve">  #NA</v>
      </c>
      <c r="F20" s="31">
        <f>IF('Area Calc for Velocity value'!$P$38=1,IF(C20&gt;0.15,0.35,0.5/D20*100)," #NA")</f>
        <v>0.35</v>
      </c>
      <c r="G20" s="31">
        <f t="shared" si="1"/>
        <v>0.35</v>
      </c>
      <c r="H20" s="116">
        <f>IF(size=15,E20,IF('Area Calc for Velocity value'!$P$38=3,G20,F20))</f>
        <v>0.35</v>
      </c>
      <c r="I20" s="31" t="str">
        <f>IF('Area Calc for Velocity value'!$P$38=2,IF(size&gt;=50,IF(C20&gt;0.3,0.35,1/D20*100), " #NA"),IF(AND('Area Calc for Velocity value'!$P$38=4,size&gt;=25),IF(C20&gt;0.3,0.35,1/D20*100),"#NA"))</f>
        <v>#NA</v>
      </c>
      <c r="J20" s="119">
        <f>IF(OR('Area Calc for Velocity value'!$P$38=3, 'Area Calc for Velocity value'!$P$38=1),H20,I20)</f>
        <v>0.35</v>
      </c>
      <c r="K20" s="79">
        <f t="shared" si="7"/>
        <v>0.2</v>
      </c>
      <c r="L20" s="77" t="e">
        <f>IF(AND(size&gt;=1,#REF!&gt;0.3),0.35,1/J20*100)</f>
        <v>#REF!</v>
      </c>
      <c r="M20" s="73" t="e">
        <f>IF(AND(size&gt;16,#REF!&gt;=1),0.35,IF(AND(size&gt;16,#REF!&gt;=0.3),(0.25+(1/J20*100)),1.75/J20*100))</f>
        <v>#REF!</v>
      </c>
      <c r="N20" s="156">
        <f>IF(size&lt;=15,"#N/A",IF(OR('Area Calc for Velocity value'!$P$38=2,'Area Calc for Velocity value'!$P$38=4),"#N/A",IF(size&gt;200," #NA", K20)))</f>
        <v>0.2</v>
      </c>
      <c r="O20" s="78" t="str">
        <f t="shared" si="2"/>
        <v xml:space="preserve">  #NA</v>
      </c>
      <c r="P20" s="78">
        <f>IF('Area Calc for Velocity value'!$P$38=1,IF(C20&gt;0.15,0.3,0.5/D20*100)," #NA")</f>
        <v>0.3</v>
      </c>
      <c r="Q20" s="78">
        <f t="shared" si="3"/>
        <v>0.3</v>
      </c>
      <c r="R20" s="116">
        <f>IF(size=15,O20,IF('Area Calc for Velocity value'!$P$38=3,Q20,P20))</f>
        <v>0.3</v>
      </c>
      <c r="S20" s="116">
        <f t="shared" si="4"/>
        <v>0.15</v>
      </c>
      <c r="T20" s="77" t="e">
        <f>IF(AND(size&gt;=1,#REF!&gt;0.3),0.35,1/X20*100)</f>
        <v>#REF!</v>
      </c>
      <c r="U20" s="73" t="e">
        <f>IF(AND(size&gt;16,#REF!&gt;=1),0.35,IF(AND(size&gt;16,#REF!&gt;=0.3),(0.25+(1/X20*100)),1.75/X20*100))</f>
        <v>#REF!</v>
      </c>
      <c r="V20" s="156">
        <f>IF(size&lt;=15,"#N/A",IF(OR('Area Calc for Velocity value'!$P$38=2,'Area Calc for Velocity value'!$P$38=4),"#N/A",IF(size&gt;200," #NA", S20)))</f>
        <v>0.15</v>
      </c>
      <c r="W20" s="170">
        <f>IF('Area Calc for Velocity value'!$P$38=1,IF(size&gt;=25,IF(C20&gt;0.3,0.35,2/D20*100), " #NA"))</f>
        <v>0.35</v>
      </c>
      <c r="X20" s="159">
        <f t="shared" si="8"/>
        <v>0.35</v>
      </c>
      <c r="Z20" s="96">
        <f t="shared" si="9"/>
        <v>62.5</v>
      </c>
      <c r="AA20" s="104">
        <f>IF('Accuracy Statement'!$D$9&gt;10,"ERROR",J20)</f>
        <v>0.35</v>
      </c>
      <c r="AB20" s="1">
        <f>IF('Accuracy Statement'!$D$9&gt;10,"ERROR",N20)</f>
        <v>0.2</v>
      </c>
      <c r="AC20" s="104">
        <f>IF('Accuracy Statement'!$D$9&gt;10,"ERROR",R20)</f>
        <v>0.3</v>
      </c>
      <c r="AD20" s="1">
        <f>IF('Accuracy Statement'!$D$9&gt;10,"ERROR",V20)</f>
        <v>0.15</v>
      </c>
      <c r="AE20" s="104">
        <f>IF('Accuracy Statement'!$D$9&gt;10,"ERROR",X20)</f>
        <v>0.35</v>
      </c>
      <c r="AF20" s="107">
        <f>IF('Accuracy Statement'!$D$9&gt;10,"ERROR",0.5+(1/D20*100))</f>
        <v>0.54523904000000001</v>
      </c>
      <c r="AG20" s="1">
        <f>IF('Accuracy Statement'!$D$9&gt;10,"ERROR",0.2+(2/D20*100))</f>
        <v>0.29047808000000008</v>
      </c>
      <c r="AH20" s="107">
        <f>IF('Accuracy Statement'!$D$9&gt;10,"ERROR",IF(C20&lt;2,0.25+1/D20*100,0.25+1.5/D20*100))</f>
        <v>0.31785856000000001</v>
      </c>
      <c r="AI20" s="1">
        <f>IF('Accuracy Statement'!$D$9&gt;10,"ERROR",IF($C20&lt;4,0.15+1/$D20*100,0.18))</f>
        <v>0.19523904000000003</v>
      </c>
      <c r="AJ20" s="110">
        <f>IF('Accuracy Statement'!$D$9&gt;10,"ERROR",0.3+1/D20*100)</f>
        <v>0.34523904</v>
      </c>
      <c r="AK20" s="73">
        <f>IF('Accuracy Statement'!$D$9&gt;10,"ERROR",0.2+1/D20*100)</f>
        <v>0.24523904000000002</v>
      </c>
      <c r="AL20" s="110">
        <f>IF('Accuracy Statement'!$D$9&gt;10,"ERROR",0.3+(100*(0.0002*$AN$56)/(($C20/10)*$AN$56)))</f>
        <v>0.39047808000000001</v>
      </c>
      <c r="AM20" s="167">
        <f>IF('Accuracy Statement'!$D$9&gt;10,"ERROR",0.4+(100*(0.0002*$AN$56)/(($C20/10)*$AN$56)))</f>
        <v>0.49047808000000004</v>
      </c>
      <c r="AN20" s="110">
        <f>IF('Accuracy Statement'!$D$9&gt;10,"ERROR",0.2+(100*(0.0002*$AN$56)/(($C20/10)*$AN$56)))</f>
        <v>0.29047808000000003</v>
      </c>
      <c r="AO20" s="100">
        <f>IF('Accuracy Statement'!$D$9&gt;10,"ERROR",0.2+1/F20*100)</f>
        <v>285.91428571428571</v>
      </c>
      <c r="AP20" s="110">
        <f>IF('Accuracy Statement'!$D$9&gt;10,"ERROR",IF(C20&lt;0.25, 2.5/D20*100, 0.5+(1.25/D20)*100))</f>
        <v>0.55654880000000007</v>
      </c>
    </row>
    <row r="21" spans="2:48">
      <c r="B21" s="87">
        <v>60</v>
      </c>
      <c r="C21" s="2">
        <f t="shared" si="5"/>
        <v>2.1220609455903565</v>
      </c>
      <c r="D21" s="88">
        <f t="shared" si="6"/>
        <v>2122.0609455903564</v>
      </c>
      <c r="E21" s="79" t="str">
        <f t="shared" si="0"/>
        <v xml:space="preserve">  #NA</v>
      </c>
      <c r="F21" s="31">
        <f>IF('Area Calc for Velocity value'!$P$38=1,IF(C21&gt;0.15,0.35,0.5/D21*100)," #NA")</f>
        <v>0.35</v>
      </c>
      <c r="G21" s="31">
        <f t="shared" si="1"/>
        <v>0.35</v>
      </c>
      <c r="H21" s="116">
        <f>IF(size=15,E21,IF('Area Calc for Velocity value'!$P$38=3,G21,F21))</f>
        <v>0.35</v>
      </c>
      <c r="I21" s="31" t="str">
        <f>IF('Area Calc for Velocity value'!$P$38=2,IF(size&gt;=50,IF(C21&gt;0.3,0.35,1/D21*100), " #NA"),IF(AND('Area Calc for Velocity value'!$P$38=4,size&gt;=25),IF(C21&gt;0.3,0.35,1/D21*100),"#NA"))</f>
        <v>#NA</v>
      </c>
      <c r="J21" s="119">
        <f>IF(OR('Area Calc for Velocity value'!$P$38=3, 'Area Calc for Velocity value'!$P$38=1),H21,I21)</f>
        <v>0.35</v>
      </c>
      <c r="K21" s="79">
        <f t="shared" si="7"/>
        <v>0.2</v>
      </c>
      <c r="L21" s="77" t="e">
        <f>IF(AND(size&gt;=1,#REF!&gt;0.3),0.35,1/J21*100)</f>
        <v>#REF!</v>
      </c>
      <c r="M21" s="73" t="e">
        <f>IF(AND(size&gt;16,#REF!&gt;=1),0.35,IF(AND(size&gt;16,#REF!&gt;=0.3),(0.25+(1/J21*100)),1.75/J21*100))</f>
        <v>#REF!</v>
      </c>
      <c r="N21" s="156">
        <f>IF(size&lt;=15,"#N/A",IF(OR('Area Calc for Velocity value'!$P$38=2,'Area Calc for Velocity value'!$P$38=4),"#N/A",IF(size&gt;200," #NA", K21)))</f>
        <v>0.2</v>
      </c>
      <c r="O21" s="78" t="str">
        <f t="shared" si="2"/>
        <v xml:space="preserve">  #NA</v>
      </c>
      <c r="P21" s="78">
        <f>IF('Area Calc for Velocity value'!$P$38=1,IF(C21&gt;0.15,0.3,0.5/D21*100)," #NA")</f>
        <v>0.3</v>
      </c>
      <c r="Q21" s="78">
        <f t="shared" si="3"/>
        <v>0.3</v>
      </c>
      <c r="R21" s="116">
        <f>IF(size=15,O21,IF('Area Calc for Velocity value'!$P$38=3,Q21,P21))</f>
        <v>0.3</v>
      </c>
      <c r="S21" s="116">
        <f t="shared" si="4"/>
        <v>0.15</v>
      </c>
      <c r="T21" s="77" t="e">
        <f>IF(AND(size&gt;=1,#REF!&gt;0.3),0.35,1/X21*100)</f>
        <v>#REF!</v>
      </c>
      <c r="U21" s="73" t="e">
        <f>IF(AND(size&gt;16,#REF!&gt;=1),0.35,IF(AND(size&gt;16,#REF!&gt;=0.3),(0.25+(1/X21*100)),1.75/X21*100))</f>
        <v>#REF!</v>
      </c>
      <c r="V21" s="156">
        <f>IF(size&lt;=15,"#N/A",IF(OR('Area Calc for Velocity value'!$P$38=2,'Area Calc for Velocity value'!$P$38=4),"#N/A",IF(size&gt;200," #NA", S21)))</f>
        <v>0.15</v>
      </c>
      <c r="W21" s="170">
        <f>IF('Area Calc for Velocity value'!$P$38=1,IF(size&gt;=25,IF(C21&gt;0.3,0.35,2/D21*100), " #NA"))</f>
        <v>0.35</v>
      </c>
      <c r="X21" s="159">
        <f t="shared" si="8"/>
        <v>0.35</v>
      </c>
      <c r="Z21" s="96">
        <f t="shared" si="9"/>
        <v>60</v>
      </c>
      <c r="AA21" s="104">
        <f>IF('Accuracy Statement'!$D$9&gt;10,"ERROR",J21)</f>
        <v>0.35</v>
      </c>
      <c r="AB21" s="1">
        <f>IF('Accuracy Statement'!$D$9&gt;10,"ERROR",N21)</f>
        <v>0.2</v>
      </c>
      <c r="AC21" s="104">
        <f>IF('Accuracy Statement'!$D$9&gt;10,"ERROR",R21)</f>
        <v>0.3</v>
      </c>
      <c r="AD21" s="1">
        <f>IF('Accuracy Statement'!$D$9&gt;10,"ERROR",V21)</f>
        <v>0.15</v>
      </c>
      <c r="AE21" s="104">
        <f>IF('Accuracy Statement'!$D$9&gt;10,"ERROR",X21)</f>
        <v>0.35</v>
      </c>
      <c r="AF21" s="107">
        <f>IF('Accuracy Statement'!$D$9&gt;10,"ERROR",0.5+(1/D21*100))</f>
        <v>0.54712400000000005</v>
      </c>
      <c r="AG21" s="1">
        <f>IF('Accuracy Statement'!$D$9&gt;10,"ERROR",0.2+(2/D21*100))</f>
        <v>0.29424800000000007</v>
      </c>
      <c r="AH21" s="107">
        <f>IF('Accuracy Statement'!$D$9&gt;10,"ERROR",IF(C21&lt;2,0.25+1/D21*100,0.25+1.5/D21*100))</f>
        <v>0.32068600000000003</v>
      </c>
      <c r="AI21" s="1">
        <f>IF('Accuracy Statement'!$D$9&gt;10,"ERROR",IF($C21&lt;4,0.15+1/$D21*100,0.18))</f>
        <v>0.19712400000000002</v>
      </c>
      <c r="AJ21" s="110">
        <f>IF('Accuracy Statement'!$D$9&gt;10,"ERROR",0.3+1/D21*100)</f>
        <v>0.34712399999999999</v>
      </c>
      <c r="AK21" s="73">
        <f>IF('Accuracy Statement'!$D$9&gt;10,"ERROR",0.2+1/D21*100)</f>
        <v>0.24712400000000004</v>
      </c>
      <c r="AL21" s="110">
        <f>IF('Accuracy Statement'!$D$9&gt;10,"ERROR",0.3+(100*(0.0002*$AN$56)/(($C21/10)*$AN$56)))</f>
        <v>0.39424800000000004</v>
      </c>
      <c r="AM21" s="167">
        <f>IF('Accuracy Statement'!$D$9&gt;10,"ERROR",0.4+(100*(0.0002*$AN$56)/(($C21/10)*$AN$56)))</f>
        <v>0.49424800000000008</v>
      </c>
      <c r="AN21" s="110">
        <f>IF('Accuracy Statement'!$D$9&gt;10,"ERROR",0.2+(100*(0.0002*$AN$56)/(($C21/10)*$AN$56)))</f>
        <v>0.29424800000000007</v>
      </c>
      <c r="AO21" s="100">
        <f>IF('Accuracy Statement'!$D$9&gt;10,"ERROR",0.2+1/F21*100)</f>
        <v>285.91428571428571</v>
      </c>
      <c r="AP21" s="110">
        <f>IF('Accuracy Statement'!$D$9&gt;10,"ERROR",IF(C21&lt;0.25, 2.5/D21*100, 0.5+(1.25/D21)*100))</f>
        <v>0.55890499999999999</v>
      </c>
    </row>
    <row r="22" spans="2:48">
      <c r="B22" s="87">
        <v>57.5</v>
      </c>
      <c r="C22" s="2">
        <f t="shared" si="5"/>
        <v>2.0336417395240916</v>
      </c>
      <c r="D22" s="88">
        <f t="shared" si="6"/>
        <v>2033.6417395240915</v>
      </c>
      <c r="E22" s="79" t="str">
        <f t="shared" si="0"/>
        <v xml:space="preserve">  #NA</v>
      </c>
      <c r="F22" s="31">
        <f>IF('Area Calc for Velocity value'!$P$38=1,IF(C22&gt;0.15,0.35,0.5/D22*100)," #NA")</f>
        <v>0.35</v>
      </c>
      <c r="G22" s="31">
        <f t="shared" si="1"/>
        <v>0.35</v>
      </c>
      <c r="H22" s="116">
        <f>IF(size=15,E22,IF('Area Calc for Velocity value'!$P$38=3,G22,F22))</f>
        <v>0.35</v>
      </c>
      <c r="I22" s="31" t="str">
        <f>IF('Area Calc for Velocity value'!$P$38=2,IF(size&gt;=50,IF(C22&gt;0.3,0.35,1/D22*100), " #NA"),IF(AND('Area Calc for Velocity value'!$P$38=4,size&gt;=25),IF(C22&gt;0.3,0.35,1/D22*100),"#NA"))</f>
        <v>#NA</v>
      </c>
      <c r="J22" s="119">
        <f>IF(OR('Area Calc for Velocity value'!$P$38=3, 'Area Calc for Velocity value'!$P$38=1),H22,I22)</f>
        <v>0.35</v>
      </c>
      <c r="K22" s="79">
        <f t="shared" si="7"/>
        <v>0.2</v>
      </c>
      <c r="L22" s="77" t="e">
        <f>IF(AND(size&gt;=1,#REF!&gt;0.3),0.35,1/J22*100)</f>
        <v>#REF!</v>
      </c>
      <c r="M22" s="73" t="e">
        <f>IF(AND(size&gt;16,#REF!&gt;=1),0.35,IF(AND(size&gt;16,#REF!&gt;=0.3),(0.25+(1/J22*100)),1.75/J22*100))</f>
        <v>#REF!</v>
      </c>
      <c r="N22" s="156">
        <f>IF(size&lt;=15,"#N/A",IF(OR('Area Calc for Velocity value'!$P$38=2,'Area Calc for Velocity value'!$P$38=4),"#N/A",IF(size&gt;200," #NA", K22)))</f>
        <v>0.2</v>
      </c>
      <c r="O22" s="78" t="str">
        <f t="shared" si="2"/>
        <v xml:space="preserve">  #NA</v>
      </c>
      <c r="P22" s="78">
        <f>IF('Area Calc for Velocity value'!$P$38=1,IF(C22&gt;0.15,0.3,0.5/D22*100)," #NA")</f>
        <v>0.3</v>
      </c>
      <c r="Q22" s="78">
        <f t="shared" si="3"/>
        <v>0.3</v>
      </c>
      <c r="R22" s="116">
        <f>IF(size=15,O22,IF('Area Calc for Velocity value'!$P$38=3,Q22,P22))</f>
        <v>0.3</v>
      </c>
      <c r="S22" s="116">
        <f t="shared" si="4"/>
        <v>0.15</v>
      </c>
      <c r="T22" s="77" t="e">
        <f>IF(AND(size&gt;=1,#REF!&gt;0.3),0.35,1/X22*100)</f>
        <v>#REF!</v>
      </c>
      <c r="U22" s="73" t="e">
        <f>IF(AND(size&gt;16,#REF!&gt;=1),0.35,IF(AND(size&gt;16,#REF!&gt;=0.3),(0.25+(1/X22*100)),1.75/X22*100))</f>
        <v>#REF!</v>
      </c>
      <c r="V22" s="156">
        <f>IF(size&lt;=15,"#N/A",IF(OR('Area Calc for Velocity value'!$P$38=2,'Area Calc for Velocity value'!$P$38=4),"#N/A",IF(size&gt;200," #NA", S22)))</f>
        <v>0.15</v>
      </c>
      <c r="W22" s="170">
        <f>IF('Area Calc for Velocity value'!$P$38=1,IF(size&gt;=25,IF(C22&gt;0.3,0.35,2/D22*100), " #NA"))</f>
        <v>0.35</v>
      </c>
      <c r="X22" s="159">
        <f t="shared" si="8"/>
        <v>0.35</v>
      </c>
      <c r="Z22" s="96">
        <f t="shared" si="9"/>
        <v>57.5</v>
      </c>
      <c r="AA22" s="104">
        <f>IF('Accuracy Statement'!$D$9&gt;10,"ERROR",J22)</f>
        <v>0.35</v>
      </c>
      <c r="AB22" s="1">
        <f>IF('Accuracy Statement'!$D$9&gt;10,"ERROR",N22)</f>
        <v>0.2</v>
      </c>
      <c r="AC22" s="104">
        <f>IF('Accuracy Statement'!$D$9&gt;10,"ERROR",R22)</f>
        <v>0.3</v>
      </c>
      <c r="AD22" s="1">
        <f>IF('Accuracy Statement'!$D$9&gt;10,"ERROR",V22)</f>
        <v>0.15</v>
      </c>
      <c r="AE22" s="104">
        <f>IF('Accuracy Statement'!$D$9&gt;10,"ERROR",X22)</f>
        <v>0.35</v>
      </c>
      <c r="AF22" s="107">
        <f>IF('Accuracy Statement'!$D$9&gt;10,"ERROR",0.5+(1/D22*100))</f>
        <v>0.54917286956521738</v>
      </c>
      <c r="AG22" s="1">
        <f>IF('Accuracy Statement'!$D$9&gt;10,"ERROR",0.2+(2/D22*100))</f>
        <v>0.29834573913043483</v>
      </c>
      <c r="AH22" s="107">
        <f>IF('Accuracy Statement'!$D$9&gt;10,"ERROR",IF(C22&lt;2,0.25+1/D22*100,0.25+1.5/D22*100))</f>
        <v>0.32375930434782613</v>
      </c>
      <c r="AI22" s="1">
        <f>IF('Accuracy Statement'!$D$9&gt;10,"ERROR",IF($C22&lt;4,0.15+1/$D22*100,0.18))</f>
        <v>0.1991728695652174</v>
      </c>
      <c r="AJ22" s="110">
        <f>IF('Accuracy Statement'!$D$9&gt;10,"ERROR",0.3+1/D22*100)</f>
        <v>0.34917286956521743</v>
      </c>
      <c r="AK22" s="73">
        <f>IF('Accuracy Statement'!$D$9&gt;10,"ERROR",0.2+1/D22*100)</f>
        <v>0.24917286956521745</v>
      </c>
      <c r="AL22" s="110">
        <f>IF('Accuracy Statement'!$D$9&gt;10,"ERROR",0.3+(100*(0.0002*$AN$56)/(($C22/10)*$AN$56)))</f>
        <v>0.39834573913043481</v>
      </c>
      <c r="AM22" s="167">
        <f>IF('Accuracy Statement'!$D$9&gt;10,"ERROR",0.4+(100*(0.0002*$AN$56)/(($C22/10)*$AN$56)))</f>
        <v>0.49834573913043484</v>
      </c>
      <c r="AN22" s="110">
        <f>IF('Accuracy Statement'!$D$9&gt;10,"ERROR",0.2+(100*(0.0002*$AN$56)/(($C22/10)*$AN$56)))</f>
        <v>0.29834573913043483</v>
      </c>
      <c r="AO22" s="100">
        <f>IF('Accuracy Statement'!$D$9&gt;10,"ERROR",0.2+1/F22*100)</f>
        <v>285.91428571428571</v>
      </c>
      <c r="AP22" s="110">
        <f>IF('Accuracy Statement'!$D$9&gt;10,"ERROR",IF(C22&lt;0.25, 2.5/D22*100, 0.5+(1.25/D22)*100))</f>
        <v>0.56146608695652178</v>
      </c>
    </row>
    <row r="23" spans="2:48">
      <c r="B23" s="87">
        <v>55</v>
      </c>
      <c r="C23" s="2">
        <f t="shared" si="5"/>
        <v>1.9452225334578273</v>
      </c>
      <c r="D23" s="88">
        <f t="shared" si="6"/>
        <v>1945.2225334578272</v>
      </c>
      <c r="E23" s="79" t="str">
        <f t="shared" si="0"/>
        <v xml:space="preserve">  #NA</v>
      </c>
      <c r="F23" s="31">
        <f>IF('Area Calc for Velocity value'!$P$38=1,IF(C23&gt;0.15,0.35,0.5/D23*100)," #NA")</f>
        <v>0.35</v>
      </c>
      <c r="G23" s="31">
        <f t="shared" si="1"/>
        <v>0.35</v>
      </c>
      <c r="H23" s="116">
        <f>IF(size=15,E23,IF('Area Calc for Velocity value'!$P$38=3,G23,F23))</f>
        <v>0.35</v>
      </c>
      <c r="I23" s="31" t="str">
        <f>IF('Area Calc for Velocity value'!$P$38=2,IF(size&gt;=50,IF(C23&gt;0.3,0.35,1/D23*100), " #NA"),IF(AND('Area Calc for Velocity value'!$P$38=4,size&gt;=25),IF(C23&gt;0.3,0.35,1/D23*100),"#NA"))</f>
        <v>#NA</v>
      </c>
      <c r="J23" s="119">
        <f>IF(OR('Area Calc for Velocity value'!$P$38=3, 'Area Calc for Velocity value'!$P$38=1),H23,I23)</f>
        <v>0.35</v>
      </c>
      <c r="K23" s="79">
        <f t="shared" si="7"/>
        <v>0.2</v>
      </c>
      <c r="L23" s="77" t="e">
        <f>IF(AND(size&gt;=1,#REF!&gt;0.3),0.35,1/J23*100)</f>
        <v>#REF!</v>
      </c>
      <c r="M23" s="73" t="e">
        <f>IF(AND(size&gt;16,#REF!&gt;=1),0.35,IF(AND(size&gt;16,#REF!&gt;=0.3),(0.25+(1/J23*100)),1.75/J23*100))</f>
        <v>#REF!</v>
      </c>
      <c r="N23" s="156">
        <f>IF(size&lt;=15,"#N/A",IF(OR('Area Calc for Velocity value'!$P$38=2,'Area Calc for Velocity value'!$P$38=4),"#N/A",IF(size&gt;200," #NA", K23)))</f>
        <v>0.2</v>
      </c>
      <c r="O23" s="78" t="str">
        <f t="shared" si="2"/>
        <v xml:space="preserve">  #NA</v>
      </c>
      <c r="P23" s="78">
        <f>IF('Area Calc for Velocity value'!$P$38=1,IF(C23&gt;0.15,0.3,0.5/D23*100)," #NA")</f>
        <v>0.3</v>
      </c>
      <c r="Q23" s="78">
        <f t="shared" si="3"/>
        <v>0.3</v>
      </c>
      <c r="R23" s="116">
        <f>IF(size=15,O23,IF('Area Calc for Velocity value'!$P$38=3,Q23,P23))</f>
        <v>0.3</v>
      </c>
      <c r="S23" s="116">
        <f t="shared" si="4"/>
        <v>0.15</v>
      </c>
      <c r="T23" s="77" t="e">
        <f>IF(AND(size&gt;=1,#REF!&gt;0.3),0.35,1/X23*100)</f>
        <v>#REF!</v>
      </c>
      <c r="U23" s="73" t="e">
        <f>IF(AND(size&gt;16,#REF!&gt;=1),0.35,IF(AND(size&gt;16,#REF!&gt;=0.3),(0.25+(1/X23*100)),1.75/X23*100))</f>
        <v>#REF!</v>
      </c>
      <c r="V23" s="156">
        <f>IF(size&lt;=15,"#N/A",IF(OR('Area Calc for Velocity value'!$P$38=2,'Area Calc for Velocity value'!$P$38=4),"#N/A",IF(size&gt;200," #NA", S23)))</f>
        <v>0.15</v>
      </c>
      <c r="W23" s="170">
        <f>IF('Area Calc for Velocity value'!$P$38=1,IF(size&gt;=25,IF(C23&gt;0.3,0.35,2/D23*100), " #NA"))</f>
        <v>0.35</v>
      </c>
      <c r="X23" s="159">
        <f t="shared" si="8"/>
        <v>0.35</v>
      </c>
      <c r="Z23" s="96">
        <f t="shared" si="9"/>
        <v>55</v>
      </c>
      <c r="AA23" s="104">
        <f>IF('Accuracy Statement'!$D$9&gt;10,"ERROR",J23)</f>
        <v>0.35</v>
      </c>
      <c r="AB23" s="1">
        <f>IF('Accuracy Statement'!$D$9&gt;10,"ERROR",N23)</f>
        <v>0.2</v>
      </c>
      <c r="AC23" s="104">
        <f>IF('Accuracy Statement'!$D$9&gt;10,"ERROR",R23)</f>
        <v>0.3</v>
      </c>
      <c r="AD23" s="1">
        <f>IF('Accuracy Statement'!$D$9&gt;10,"ERROR",V23)</f>
        <v>0.15</v>
      </c>
      <c r="AE23" s="104">
        <f>IF('Accuracy Statement'!$D$9&gt;10,"ERROR",X23)</f>
        <v>0.35</v>
      </c>
      <c r="AF23" s="107">
        <f>IF('Accuracy Statement'!$D$9&gt;10,"ERROR",0.5+(1/D23*100))</f>
        <v>0.55140800000000001</v>
      </c>
      <c r="AG23" s="1">
        <f>IF('Accuracy Statement'!$D$9&gt;10,"ERROR",0.2+(2/D23*100))</f>
        <v>0.30281600000000003</v>
      </c>
      <c r="AH23" s="107">
        <f>IF('Accuracy Statement'!$D$9&gt;10,"ERROR",IF(C23&lt;2,0.25+1/D23*100,0.25+1.5/D23*100))</f>
        <v>0.30140800000000001</v>
      </c>
      <c r="AI23" s="1">
        <f>IF('Accuracy Statement'!$D$9&gt;10,"ERROR",IF($C23&lt;4,0.15+1/$D23*100,0.18))</f>
        <v>0.201408</v>
      </c>
      <c r="AJ23" s="110">
        <f>IF('Accuracy Statement'!$D$9&gt;10,"ERROR",0.3+1/D23*100)</f>
        <v>0.351408</v>
      </c>
      <c r="AK23" s="73">
        <f>IF('Accuracy Statement'!$D$9&gt;10,"ERROR",0.2+1/D23*100)</f>
        <v>0.25140800000000002</v>
      </c>
      <c r="AL23" s="110">
        <f>IF('Accuracy Statement'!$D$9&gt;10,"ERROR",0.3+(100*(0.0002*$AN$56)/(($C23/10)*$AN$56)))</f>
        <v>0.40281600000000001</v>
      </c>
      <c r="AM23" s="167">
        <f>IF('Accuracy Statement'!$D$9&gt;10,"ERROR",0.4+(100*(0.0002*$AN$56)/(($C23/10)*$AN$56)))</f>
        <v>0.50281600000000004</v>
      </c>
      <c r="AN23" s="110">
        <f>IF('Accuracy Statement'!$D$9&gt;10,"ERROR",0.2+(100*(0.0002*$AN$56)/(($C23/10)*$AN$56)))</f>
        <v>0.30281600000000003</v>
      </c>
      <c r="AO23" s="100">
        <f>IF('Accuracy Statement'!$D$9&gt;10,"ERROR",0.2+1/F23*100)</f>
        <v>285.91428571428571</v>
      </c>
      <c r="AP23" s="110">
        <f>IF('Accuracy Statement'!$D$9&gt;10,"ERROR",IF(C23&lt;0.25, 2.5/D23*100, 0.5+(1.25/D23)*100))</f>
        <v>0.56425999999999998</v>
      </c>
    </row>
    <row r="24" spans="2:48">
      <c r="B24" s="87">
        <v>52.5</v>
      </c>
      <c r="C24" s="2">
        <f t="shared" si="5"/>
        <v>1.8568033273915623</v>
      </c>
      <c r="D24" s="88">
        <f t="shared" si="6"/>
        <v>1856.8033273915623</v>
      </c>
      <c r="E24" s="79" t="str">
        <f t="shared" si="0"/>
        <v xml:space="preserve">  #NA</v>
      </c>
      <c r="F24" s="31">
        <f>IF('Area Calc for Velocity value'!$P$38=1,IF(C24&gt;0.15,0.35,0.5/D24*100)," #NA")</f>
        <v>0.35</v>
      </c>
      <c r="G24" s="31">
        <f t="shared" si="1"/>
        <v>0.35</v>
      </c>
      <c r="H24" s="116">
        <f>IF(size=15,E24,IF('Area Calc for Velocity value'!$P$38=3,G24,F24))</f>
        <v>0.35</v>
      </c>
      <c r="I24" s="31" t="str">
        <f>IF('Area Calc for Velocity value'!$P$38=2,IF(size&gt;=50,IF(C24&gt;0.3,0.35,1/D24*100), " #NA"),IF(AND('Area Calc for Velocity value'!$P$38=4,size&gt;=25),IF(C24&gt;0.3,0.35,1/D24*100),"#NA"))</f>
        <v>#NA</v>
      </c>
      <c r="J24" s="119">
        <f>IF(OR('Area Calc for Velocity value'!$P$38=3, 'Area Calc for Velocity value'!$P$38=1),H24,I24)</f>
        <v>0.35</v>
      </c>
      <c r="K24" s="79">
        <f t="shared" si="7"/>
        <v>0.2</v>
      </c>
      <c r="L24" s="77" t="e">
        <f>IF(AND(size&gt;=1,#REF!&gt;0.3),0.35,1/J24*100)</f>
        <v>#REF!</v>
      </c>
      <c r="M24" s="73" t="e">
        <f>IF(AND(size&gt;16,#REF!&gt;=1),0.35,IF(AND(size&gt;16,#REF!&gt;=0.3),(0.25+(1/J24*100)),1.75/J24*100))</f>
        <v>#REF!</v>
      </c>
      <c r="N24" s="156">
        <f>IF(size&lt;=15,"#N/A",IF(OR('Area Calc for Velocity value'!$P$38=2,'Area Calc for Velocity value'!$P$38=4),"#N/A",IF(size&gt;200," #NA", K24)))</f>
        <v>0.2</v>
      </c>
      <c r="O24" s="78" t="str">
        <f t="shared" si="2"/>
        <v xml:space="preserve">  #NA</v>
      </c>
      <c r="P24" s="78">
        <f>IF('Area Calc for Velocity value'!$P$38=1,IF(C24&gt;0.15,0.3,0.5/D24*100)," #NA")</f>
        <v>0.3</v>
      </c>
      <c r="Q24" s="78">
        <f t="shared" si="3"/>
        <v>0.3</v>
      </c>
      <c r="R24" s="116">
        <f>IF(size=15,O24,IF('Area Calc for Velocity value'!$P$38=3,Q24,P24))</f>
        <v>0.3</v>
      </c>
      <c r="S24" s="116">
        <f t="shared" si="4"/>
        <v>0.15</v>
      </c>
      <c r="T24" s="77" t="e">
        <f>IF(AND(size&gt;=1,#REF!&gt;0.3),0.35,1/X24*100)</f>
        <v>#REF!</v>
      </c>
      <c r="U24" s="73" t="e">
        <f>IF(AND(size&gt;16,#REF!&gt;=1),0.35,IF(AND(size&gt;16,#REF!&gt;=0.3),(0.25+(1/X24*100)),1.75/X24*100))</f>
        <v>#REF!</v>
      </c>
      <c r="V24" s="156">
        <f>IF(size&lt;=15,"#N/A",IF(OR('Area Calc for Velocity value'!$P$38=2,'Area Calc for Velocity value'!$P$38=4),"#N/A",IF(size&gt;200," #NA", S24)))</f>
        <v>0.15</v>
      </c>
      <c r="W24" s="170">
        <f>IF('Area Calc for Velocity value'!$P$38=1,IF(size&gt;=25,IF(C24&gt;0.3,0.35,2/D24*100), " #NA"))</f>
        <v>0.35</v>
      </c>
      <c r="X24" s="159">
        <f t="shared" si="8"/>
        <v>0.35</v>
      </c>
      <c r="Z24" s="96">
        <f t="shared" si="9"/>
        <v>52.5</v>
      </c>
      <c r="AA24" s="104">
        <f>IF('Accuracy Statement'!$D$9&gt;10,"ERROR",J24)</f>
        <v>0.35</v>
      </c>
      <c r="AB24" s="1">
        <f>IF('Accuracy Statement'!$D$9&gt;10,"ERROR",N24)</f>
        <v>0.2</v>
      </c>
      <c r="AC24" s="104">
        <f>IF('Accuracy Statement'!$D$9&gt;10,"ERROR",R24)</f>
        <v>0.3</v>
      </c>
      <c r="AD24" s="1">
        <f>IF('Accuracy Statement'!$D$9&gt;10,"ERROR",V24)</f>
        <v>0.15</v>
      </c>
      <c r="AE24" s="104">
        <f>IF('Accuracy Statement'!$D$9&gt;10,"ERROR",X24)</f>
        <v>0.35</v>
      </c>
      <c r="AF24" s="107">
        <f>IF('Accuracy Statement'!$D$9&gt;10,"ERROR",0.5+(1/D24*100))</f>
        <v>0.55385600000000001</v>
      </c>
      <c r="AG24" s="1">
        <f>IF('Accuracy Statement'!$D$9&gt;10,"ERROR",0.2+(2/D24*100))</f>
        <v>0.30771200000000004</v>
      </c>
      <c r="AH24" s="107">
        <f>IF('Accuracy Statement'!$D$9&gt;10,"ERROR",IF(C24&lt;2,0.25+1/D24*100,0.25+1.5/D24*100))</f>
        <v>0.30385600000000001</v>
      </c>
      <c r="AI24" s="1">
        <f>IF('Accuracy Statement'!$D$9&gt;10,"ERROR",IF($C24&lt;4,0.15+1/$D24*100,0.18))</f>
        <v>0.20385600000000001</v>
      </c>
      <c r="AJ24" s="110">
        <f>IF('Accuracy Statement'!$D$9&gt;10,"ERROR",0.3+1/D24*100)</f>
        <v>0.353856</v>
      </c>
      <c r="AK24" s="73">
        <f>IF('Accuracy Statement'!$D$9&gt;10,"ERROR",0.2+1/D24*100)</f>
        <v>0.25385600000000003</v>
      </c>
      <c r="AL24" s="110">
        <f>IF('Accuracy Statement'!$D$9&gt;10,"ERROR",0.3+(100*(0.0002*$AN$56)/(($C24/10)*$AN$56)))</f>
        <v>0.40771200000000002</v>
      </c>
      <c r="AM24" s="167">
        <f>IF('Accuracy Statement'!$D$9&gt;10,"ERROR",0.4+(100*(0.0002*$AN$56)/(($C24/10)*$AN$56)))</f>
        <v>0.50771200000000005</v>
      </c>
      <c r="AN24" s="110">
        <f>IF('Accuracy Statement'!$D$9&gt;10,"ERROR",0.2+(100*(0.0002*$AN$56)/(($C24/10)*$AN$56)))</f>
        <v>0.30771200000000004</v>
      </c>
      <c r="AO24" s="100">
        <f>IF('Accuracy Statement'!$D$9&gt;10,"ERROR",0.2+1/F24*100)</f>
        <v>285.91428571428571</v>
      </c>
      <c r="AP24" s="110">
        <f>IF('Accuracy Statement'!$D$9&gt;10,"ERROR",IF(C24&lt;0.25, 2.5/D24*100, 0.5+(1.25/D24)*100))</f>
        <v>0.56732000000000005</v>
      </c>
    </row>
    <row r="25" spans="2:48">
      <c r="B25" s="87">
        <v>50</v>
      </c>
      <c r="C25" s="2">
        <f t="shared" si="5"/>
        <v>1.7683841213252973</v>
      </c>
      <c r="D25" s="88">
        <f t="shared" si="6"/>
        <v>1768.3841213252974</v>
      </c>
      <c r="E25" s="79" t="str">
        <f t="shared" si="0"/>
        <v xml:space="preserve">  #NA</v>
      </c>
      <c r="F25" s="31">
        <f>IF('Area Calc for Velocity value'!$P$38=1,IF(C25&gt;0.15,0.35,0.5/D25*100)," #NA")</f>
        <v>0.35</v>
      </c>
      <c r="G25" s="31">
        <f t="shared" si="1"/>
        <v>0.35</v>
      </c>
      <c r="H25" s="116">
        <f>IF(size=15,E25,IF('Area Calc for Velocity value'!$P$38=3,G25,F25))</f>
        <v>0.35</v>
      </c>
      <c r="I25" s="31" t="str">
        <f>IF('Area Calc for Velocity value'!$P$38=2,IF(size&gt;=50,IF(C25&gt;0.3,0.35,1/D25*100), " #NA"),IF(AND('Area Calc for Velocity value'!$P$38=4,size&gt;=25),IF(C25&gt;0.3,0.35,1/D25*100),"#NA"))</f>
        <v>#NA</v>
      </c>
      <c r="J25" s="119">
        <f>IF(OR('Area Calc for Velocity value'!$P$38=3, 'Area Calc for Velocity value'!$P$38=1),H25,I25)</f>
        <v>0.35</v>
      </c>
      <c r="K25" s="79">
        <f t="shared" si="7"/>
        <v>0.2</v>
      </c>
      <c r="L25" s="77" t="e">
        <f>IF(AND(size&gt;=1,#REF!&gt;0.3),0.35,1/J25*100)</f>
        <v>#REF!</v>
      </c>
      <c r="M25" s="73" t="e">
        <f>IF(AND(size&gt;16,#REF!&gt;=1),0.35,IF(AND(size&gt;16,#REF!&gt;=0.3),(0.25+(1/J25*100)),1.75/J25*100))</f>
        <v>#REF!</v>
      </c>
      <c r="N25" s="156">
        <f>IF(size&lt;=15,"#N/A",IF(OR('Area Calc for Velocity value'!$P$38=2,'Area Calc for Velocity value'!$P$38=4),"#N/A",IF(size&gt;200," #NA", K25)))</f>
        <v>0.2</v>
      </c>
      <c r="O25" s="78" t="str">
        <f t="shared" si="2"/>
        <v xml:space="preserve">  #NA</v>
      </c>
      <c r="P25" s="78">
        <f>IF('Area Calc for Velocity value'!$P$38=1,IF(C25&gt;0.15,0.3,0.5/D25*100)," #NA")</f>
        <v>0.3</v>
      </c>
      <c r="Q25" s="78">
        <f t="shared" si="3"/>
        <v>0.3</v>
      </c>
      <c r="R25" s="116">
        <f>IF(size=15,O25,IF('Area Calc for Velocity value'!$P$38=3,Q25,P25))</f>
        <v>0.3</v>
      </c>
      <c r="S25" s="116">
        <f t="shared" si="4"/>
        <v>0.15</v>
      </c>
      <c r="T25" s="77" t="e">
        <f>IF(AND(size&gt;=1,#REF!&gt;0.3),0.35,1/X25*100)</f>
        <v>#REF!</v>
      </c>
      <c r="U25" s="73" t="e">
        <f>IF(AND(size&gt;16,#REF!&gt;=1),0.35,IF(AND(size&gt;16,#REF!&gt;=0.3),(0.25+(1/X25*100)),1.75/X25*100))</f>
        <v>#REF!</v>
      </c>
      <c r="V25" s="156">
        <f>IF(size&lt;=15,"#N/A",IF(OR('Area Calc for Velocity value'!$P$38=2,'Area Calc for Velocity value'!$P$38=4),"#N/A",IF(size&gt;200," #NA", S25)))</f>
        <v>0.15</v>
      </c>
      <c r="W25" s="170">
        <f>IF('Area Calc for Velocity value'!$P$38=1,IF(size&gt;=25,IF(C25&gt;0.3,0.35,2/D25*100), " #NA"))</f>
        <v>0.35</v>
      </c>
      <c r="X25" s="159">
        <f t="shared" si="8"/>
        <v>0.35</v>
      </c>
      <c r="Z25" s="96">
        <f t="shared" si="9"/>
        <v>50</v>
      </c>
      <c r="AA25" s="104">
        <f>IF('Accuracy Statement'!$D$9&gt;10,"ERROR",J25)</f>
        <v>0.35</v>
      </c>
      <c r="AB25" s="1">
        <f>IF('Accuracy Statement'!$D$9&gt;10,"ERROR",N25)</f>
        <v>0.2</v>
      </c>
      <c r="AC25" s="104">
        <f>IF('Accuracy Statement'!$D$9&gt;10,"ERROR",R25)</f>
        <v>0.3</v>
      </c>
      <c r="AD25" s="1">
        <f>IF('Accuracy Statement'!$D$9&gt;10,"ERROR",V25)</f>
        <v>0.15</v>
      </c>
      <c r="AE25" s="104">
        <f>IF('Accuracy Statement'!$D$9&gt;10,"ERROR",X25)</f>
        <v>0.35</v>
      </c>
      <c r="AF25" s="107">
        <f>IF('Accuracy Statement'!$D$9&gt;10,"ERROR",0.5+(1/D25*100))</f>
        <v>0.55654880000000007</v>
      </c>
      <c r="AG25" s="1">
        <f>IF('Accuracy Statement'!$D$9&gt;10,"ERROR",0.2+(2/D25*100))</f>
        <v>0.31309760000000003</v>
      </c>
      <c r="AH25" s="107">
        <f>IF('Accuracy Statement'!$D$9&gt;10,"ERROR",IF(C25&lt;2,0.25+1/D25*100,0.25+1.5/D25*100))</f>
        <v>0.30654880000000001</v>
      </c>
      <c r="AI25" s="1">
        <f>IF('Accuracy Statement'!$D$9&gt;10,"ERROR",IF($C25&lt;4,0.15+1/$D25*100,0.18))</f>
        <v>0.2065488</v>
      </c>
      <c r="AJ25" s="110">
        <f>IF('Accuracy Statement'!$D$9&gt;10,"ERROR",0.3+1/D25*100)</f>
        <v>0.3565488</v>
      </c>
      <c r="AK25" s="73">
        <f>IF('Accuracy Statement'!$D$9&gt;10,"ERROR",0.2+1/D25*100)</f>
        <v>0.25654880000000002</v>
      </c>
      <c r="AL25" s="110">
        <f>IF('Accuracy Statement'!$D$9&gt;10,"ERROR",0.3+(100*(0.0002*$AN$56)/(($C25/10)*$AN$56)))</f>
        <v>0.41309760000000001</v>
      </c>
      <c r="AM25" s="167">
        <f>IF('Accuracy Statement'!$D$9&gt;10,"ERROR",0.4+(100*(0.0002*$AN$56)/(($C25/10)*$AN$56)))</f>
        <v>0.51309760000000004</v>
      </c>
      <c r="AN25" s="110">
        <f>IF('Accuracy Statement'!$D$9&gt;10,"ERROR",0.2+(100*(0.0002*$AN$56)/(($C25/10)*$AN$56)))</f>
        <v>0.31309760000000003</v>
      </c>
      <c r="AO25" s="100">
        <f>IF('Accuracy Statement'!$D$9&gt;10,"ERROR",0.2+1/F25*100)</f>
        <v>285.91428571428571</v>
      </c>
      <c r="AP25" s="110">
        <f>IF('Accuracy Statement'!$D$9&gt;10,"ERROR",IF(C25&lt;0.25, 2.5/D25*100, 0.5+(1.25/D25)*100))</f>
        <v>0.57068600000000003</v>
      </c>
    </row>
    <row r="26" spans="2:48">
      <c r="B26" s="87">
        <v>47.5</v>
      </c>
      <c r="C26" s="2">
        <f t="shared" si="5"/>
        <v>1.6799649152590324</v>
      </c>
      <c r="D26" s="88">
        <f t="shared" si="6"/>
        <v>1679.9649152590323</v>
      </c>
      <c r="E26" s="79" t="str">
        <f t="shared" si="0"/>
        <v xml:space="preserve">  #NA</v>
      </c>
      <c r="F26" s="31">
        <f>IF('Area Calc for Velocity value'!$P$38=1,IF(C26&gt;0.15,0.35,0.5/D26*100)," #NA")</f>
        <v>0.35</v>
      </c>
      <c r="G26" s="31">
        <f t="shared" si="1"/>
        <v>0.35</v>
      </c>
      <c r="H26" s="116">
        <f>IF(size=15,E26,IF('Area Calc for Velocity value'!$P$38=3,G26,F26))</f>
        <v>0.35</v>
      </c>
      <c r="I26" s="31" t="str">
        <f>IF('Area Calc for Velocity value'!$P$38=2,IF(size&gt;=50,IF(C26&gt;0.3,0.35,1/D26*100), " #NA"),IF(AND('Area Calc for Velocity value'!$P$38=4,size&gt;=25),IF(C26&gt;0.3,0.35,1/D26*100),"#NA"))</f>
        <v>#NA</v>
      </c>
      <c r="J26" s="119">
        <f>IF(OR('Area Calc for Velocity value'!$P$38=3, 'Area Calc for Velocity value'!$P$38=1),H26,I26)</f>
        <v>0.35</v>
      </c>
      <c r="K26" s="79">
        <f t="shared" si="7"/>
        <v>0.2</v>
      </c>
      <c r="L26" s="77" t="e">
        <f>IF(AND(size&gt;=1,#REF!&gt;0.3),0.35,1/J26*100)</f>
        <v>#REF!</v>
      </c>
      <c r="M26" s="73" t="e">
        <f>IF(AND(size&gt;16,#REF!&gt;=1),0.35,IF(AND(size&gt;16,#REF!&gt;=0.3),(0.25+(1/J26*100)),1.75/J26*100))</f>
        <v>#REF!</v>
      </c>
      <c r="N26" s="156">
        <f>IF(size&lt;=15,"#N/A",IF(OR('Area Calc for Velocity value'!$P$38=2,'Area Calc for Velocity value'!$P$38=4),"#N/A",IF(size&gt;200," #NA", K26)))</f>
        <v>0.2</v>
      </c>
      <c r="O26" s="78" t="str">
        <f t="shared" si="2"/>
        <v xml:space="preserve">  #NA</v>
      </c>
      <c r="P26" s="78">
        <f>IF('Area Calc for Velocity value'!$P$38=1,IF(C26&gt;0.15,0.3,0.5/D26*100)," #NA")</f>
        <v>0.3</v>
      </c>
      <c r="Q26" s="78">
        <f t="shared" si="3"/>
        <v>0.3</v>
      </c>
      <c r="R26" s="116">
        <f>IF(size=15,O26,IF('Area Calc for Velocity value'!$P$38=3,Q26,P26))</f>
        <v>0.3</v>
      </c>
      <c r="S26" s="116">
        <f t="shared" si="4"/>
        <v>0.15</v>
      </c>
      <c r="T26" s="77" t="e">
        <f>IF(AND(size&gt;=1,#REF!&gt;0.3),0.35,1/X26*100)</f>
        <v>#REF!</v>
      </c>
      <c r="U26" s="73" t="e">
        <f>IF(AND(size&gt;16,#REF!&gt;=1),0.35,IF(AND(size&gt;16,#REF!&gt;=0.3),(0.25+(1/X26*100)),1.75/X26*100))</f>
        <v>#REF!</v>
      </c>
      <c r="V26" s="156">
        <f>IF(size&lt;=15,"#N/A",IF(OR('Area Calc for Velocity value'!$P$38=2,'Area Calc for Velocity value'!$P$38=4),"#N/A",IF(size&gt;200," #NA", S26)))</f>
        <v>0.15</v>
      </c>
      <c r="W26" s="170">
        <f>IF('Area Calc for Velocity value'!$P$38=1,IF(size&gt;=25,IF(C26&gt;0.3,0.35,2/D26*100), " #NA"))</f>
        <v>0.35</v>
      </c>
      <c r="X26" s="159">
        <f t="shared" si="8"/>
        <v>0.35</v>
      </c>
      <c r="Z26" s="96">
        <f t="shared" si="9"/>
        <v>47.5</v>
      </c>
      <c r="AA26" s="104">
        <f>IF('Accuracy Statement'!$D$9&gt;10,"ERROR",J26)</f>
        <v>0.35</v>
      </c>
      <c r="AB26" s="1">
        <f>IF('Accuracy Statement'!$D$9&gt;10,"ERROR",N26)</f>
        <v>0.2</v>
      </c>
      <c r="AC26" s="104">
        <f>IF('Accuracy Statement'!$D$9&gt;10,"ERROR",R26)</f>
        <v>0.3</v>
      </c>
      <c r="AD26" s="1">
        <f>IF('Accuracy Statement'!$D$9&gt;10,"ERROR",V26)</f>
        <v>0.15</v>
      </c>
      <c r="AE26" s="104">
        <f>IF('Accuracy Statement'!$D$9&gt;10,"ERROR",X26)</f>
        <v>0.35</v>
      </c>
      <c r="AF26" s="107">
        <f>IF('Accuracy Statement'!$D$9&gt;10,"ERROR",0.5+(1/D26*100))</f>
        <v>0.55952505263157892</v>
      </c>
      <c r="AG26" s="1">
        <f>IF('Accuracy Statement'!$D$9&gt;10,"ERROR",0.2+(2/D26*100))</f>
        <v>0.31905010526315791</v>
      </c>
      <c r="AH26" s="107">
        <f>IF('Accuracy Statement'!$D$9&gt;10,"ERROR",IF(C26&lt;2,0.25+1/D26*100,0.25+1.5/D26*100))</f>
        <v>0.30952505263157898</v>
      </c>
      <c r="AI26" s="1">
        <f>IF('Accuracy Statement'!$D$9&gt;10,"ERROR",IF($C26&lt;4,0.15+1/$D26*100,0.18))</f>
        <v>0.20952505263157895</v>
      </c>
      <c r="AJ26" s="110">
        <f>IF('Accuracy Statement'!$D$9&gt;10,"ERROR",0.3+1/D26*100)</f>
        <v>0.35952505263157897</v>
      </c>
      <c r="AK26" s="73">
        <f>IF('Accuracy Statement'!$D$9&gt;10,"ERROR",0.2+1/D26*100)</f>
        <v>0.25952505263157899</v>
      </c>
      <c r="AL26" s="110">
        <f>IF('Accuracy Statement'!$D$9&gt;10,"ERROR",0.3+(100*(0.0002*$AN$56)/(($C26/10)*$AN$56)))</f>
        <v>0.41905010526315789</v>
      </c>
      <c r="AM26" s="167">
        <f>IF('Accuracy Statement'!$D$9&gt;10,"ERROR",0.4+(100*(0.0002*$AN$56)/(($C26/10)*$AN$56)))</f>
        <v>0.51905010526315798</v>
      </c>
      <c r="AN26" s="110">
        <f>IF('Accuracy Statement'!$D$9&gt;10,"ERROR",0.2+(100*(0.0002*$AN$56)/(($C26/10)*$AN$56)))</f>
        <v>0.31905010526315791</v>
      </c>
      <c r="AO26" s="100">
        <f>IF('Accuracy Statement'!$D$9&gt;10,"ERROR",0.2+1/F26*100)</f>
        <v>285.91428571428571</v>
      </c>
      <c r="AP26" s="110">
        <f>IF('Accuracy Statement'!$D$9&gt;10,"ERROR",IF(C26&lt;0.25, 2.5/D26*100, 0.5+(1.25/D26)*100))</f>
        <v>0.57440631578947365</v>
      </c>
    </row>
    <row r="27" spans="2:48">
      <c r="B27" s="87">
        <v>45</v>
      </c>
      <c r="C27" s="2">
        <f t="shared" si="5"/>
        <v>1.5915457091927676</v>
      </c>
      <c r="D27" s="88">
        <f t="shared" si="6"/>
        <v>1591.5457091927676</v>
      </c>
      <c r="E27" s="79" t="str">
        <f t="shared" si="0"/>
        <v xml:space="preserve">  #NA</v>
      </c>
      <c r="F27" s="31">
        <f>IF('Area Calc for Velocity value'!$P$38=1,IF(C27&gt;0.15,0.35,0.5/D27*100)," #NA")</f>
        <v>0.35</v>
      </c>
      <c r="G27" s="31">
        <f t="shared" si="1"/>
        <v>0.35</v>
      </c>
      <c r="H27" s="116">
        <f>IF(size=15,E27,IF('Area Calc for Velocity value'!$P$38=3,G27,F27))</f>
        <v>0.35</v>
      </c>
      <c r="I27" s="31" t="str">
        <f>IF('Area Calc for Velocity value'!$P$38=2,IF(size&gt;=50,IF(C27&gt;0.3,0.35,1/D27*100), " #NA"),IF(AND('Area Calc for Velocity value'!$P$38=4,size&gt;=25),IF(C27&gt;0.3,0.35,1/D27*100),"#NA"))</f>
        <v>#NA</v>
      </c>
      <c r="J27" s="119">
        <f>IF(OR('Area Calc for Velocity value'!$P$38=3, 'Area Calc for Velocity value'!$P$38=1),H27,I27)</f>
        <v>0.35</v>
      </c>
      <c r="K27" s="79">
        <f t="shared" si="7"/>
        <v>0.2</v>
      </c>
      <c r="L27" s="77" t="e">
        <f>IF(AND(size&gt;=1,#REF!&gt;0.3),0.35,1/J27*100)</f>
        <v>#REF!</v>
      </c>
      <c r="M27" s="73" t="e">
        <f>IF(AND(size&gt;16,#REF!&gt;=1),0.35,IF(AND(size&gt;16,#REF!&gt;=0.3),(0.25+(1/J27*100)),1.75/J27*100))</f>
        <v>#REF!</v>
      </c>
      <c r="N27" s="156">
        <f>IF(size&lt;=15,"#N/A",IF(OR('Area Calc for Velocity value'!$P$38=2,'Area Calc for Velocity value'!$P$38=4),"#N/A",IF(size&gt;200," #NA", K27)))</f>
        <v>0.2</v>
      </c>
      <c r="O27" s="78" t="str">
        <f t="shared" si="2"/>
        <v xml:space="preserve">  #NA</v>
      </c>
      <c r="P27" s="78">
        <f>IF('Area Calc for Velocity value'!$P$38=1,IF(C27&gt;0.15,0.3,0.5/D27*100)," #NA")</f>
        <v>0.3</v>
      </c>
      <c r="Q27" s="78">
        <f t="shared" si="3"/>
        <v>0.3</v>
      </c>
      <c r="R27" s="116">
        <f>IF(size=15,O27,IF('Area Calc for Velocity value'!$P$38=3,Q27,P27))</f>
        <v>0.3</v>
      </c>
      <c r="S27" s="116">
        <f t="shared" si="4"/>
        <v>0.15</v>
      </c>
      <c r="T27" s="77" t="e">
        <f>IF(AND(size&gt;=1,#REF!&gt;0.3),0.35,1/X27*100)</f>
        <v>#REF!</v>
      </c>
      <c r="U27" s="73" t="e">
        <f>IF(AND(size&gt;16,#REF!&gt;=1),0.35,IF(AND(size&gt;16,#REF!&gt;=0.3),(0.25+(1/X27*100)),1.75/X27*100))</f>
        <v>#REF!</v>
      </c>
      <c r="V27" s="156">
        <f>IF(size&lt;=15,"#N/A",IF(OR('Area Calc for Velocity value'!$P$38=2,'Area Calc for Velocity value'!$P$38=4),"#N/A",IF(size&gt;200," #NA", S27)))</f>
        <v>0.15</v>
      </c>
      <c r="W27" s="170">
        <f>IF('Area Calc for Velocity value'!$P$38=1,IF(size&gt;=25,IF(C27&gt;0.3,0.35,2/D27*100), " #NA"))</f>
        <v>0.35</v>
      </c>
      <c r="X27" s="159">
        <f t="shared" si="8"/>
        <v>0.35</v>
      </c>
      <c r="Z27" s="96">
        <f t="shared" si="9"/>
        <v>45</v>
      </c>
      <c r="AA27" s="104">
        <f>IF('Accuracy Statement'!$D$9&gt;10,"ERROR",J27)</f>
        <v>0.35</v>
      </c>
      <c r="AB27" s="1">
        <f>IF('Accuracy Statement'!$D$9&gt;10,"ERROR",N27)</f>
        <v>0.2</v>
      </c>
      <c r="AC27" s="104">
        <f>IF('Accuracy Statement'!$D$9&gt;10,"ERROR",R27)</f>
        <v>0.3</v>
      </c>
      <c r="AD27" s="1">
        <f>IF('Accuracy Statement'!$D$9&gt;10,"ERROR",V27)</f>
        <v>0.15</v>
      </c>
      <c r="AE27" s="104">
        <f>IF('Accuracy Statement'!$D$9&gt;10,"ERROR",X27)</f>
        <v>0.35</v>
      </c>
      <c r="AF27" s="107">
        <f>IF('Accuracy Statement'!$D$9&gt;10,"ERROR",0.5+(1/D27*100))</f>
        <v>0.562832</v>
      </c>
      <c r="AG27" s="1">
        <f>IF('Accuracy Statement'!$D$9&gt;10,"ERROR",0.2+(2/D27*100))</f>
        <v>0.32566400000000006</v>
      </c>
      <c r="AH27" s="107">
        <f>IF('Accuracy Statement'!$D$9&gt;10,"ERROR",IF(C27&lt;2,0.25+1/D27*100,0.25+1.5/D27*100))</f>
        <v>0.312832</v>
      </c>
      <c r="AI27" s="1">
        <f>IF('Accuracy Statement'!$D$9&gt;10,"ERROR",IF($C27&lt;4,0.15+1/$D27*100,0.18))</f>
        <v>0.21283200000000002</v>
      </c>
      <c r="AJ27" s="110">
        <f>IF('Accuracy Statement'!$D$9&gt;10,"ERROR",0.3+1/D27*100)</f>
        <v>0.36283199999999999</v>
      </c>
      <c r="AK27" s="73">
        <f>IF('Accuracy Statement'!$D$9&gt;10,"ERROR",0.2+1/D27*100)</f>
        <v>0.26283200000000001</v>
      </c>
      <c r="AL27" s="110">
        <f>IF('Accuracy Statement'!$D$9&gt;10,"ERROR",0.3+(100*(0.0002*$AN$56)/(($C27/10)*$AN$56)))</f>
        <v>0.42566400000000004</v>
      </c>
      <c r="AM27" s="167">
        <f>IF('Accuracy Statement'!$D$9&gt;10,"ERROR",0.4+(100*(0.0002*$AN$56)/(($C27/10)*$AN$56)))</f>
        <v>0.52566400000000002</v>
      </c>
      <c r="AN27" s="110">
        <f>IF('Accuracy Statement'!$D$9&gt;10,"ERROR",0.2+(100*(0.0002*$AN$56)/(($C27/10)*$AN$56)))</f>
        <v>0.32566400000000006</v>
      </c>
      <c r="AO27" s="100">
        <f>IF('Accuracy Statement'!$D$9&gt;10,"ERROR",0.2+1/F27*100)</f>
        <v>285.91428571428571</v>
      </c>
      <c r="AP27" s="110">
        <f>IF('Accuracy Statement'!$D$9&gt;10,"ERROR",IF(C27&lt;0.25, 2.5/D27*100, 0.5+(1.25/D27)*100))</f>
        <v>0.57854000000000005</v>
      </c>
    </row>
    <row r="28" spans="2:48">
      <c r="B28" s="87">
        <v>42.5</v>
      </c>
      <c r="C28" s="2">
        <f t="shared" si="5"/>
        <v>1.5031265031265026</v>
      </c>
      <c r="D28" s="88">
        <f t="shared" si="6"/>
        <v>1503.1265031265027</v>
      </c>
      <c r="E28" s="79" t="str">
        <f t="shared" si="0"/>
        <v xml:space="preserve">  #NA</v>
      </c>
      <c r="F28" s="31">
        <f>IF('Area Calc for Velocity value'!$P$38=1,IF(C28&gt;0.15,0.35,0.5/D28*100)," #NA")</f>
        <v>0.35</v>
      </c>
      <c r="G28" s="31">
        <f t="shared" si="1"/>
        <v>0.35</v>
      </c>
      <c r="H28" s="116">
        <f>IF(size=15,E28,IF('Area Calc for Velocity value'!$P$38=3,G28,F28))</f>
        <v>0.35</v>
      </c>
      <c r="I28" s="31" t="str">
        <f>IF('Area Calc for Velocity value'!$P$38=2,IF(size&gt;=50,IF(C28&gt;0.3,0.35,1/D28*100), " #NA"),IF(AND('Area Calc for Velocity value'!$P$38=4,size&gt;=25),IF(C28&gt;0.3,0.35,1/D28*100),"#NA"))</f>
        <v>#NA</v>
      </c>
      <c r="J28" s="119">
        <f>IF(OR('Area Calc for Velocity value'!$P$38=3, 'Area Calc for Velocity value'!$P$38=1),H28,I28)</f>
        <v>0.35</v>
      </c>
      <c r="K28" s="79">
        <f t="shared" si="7"/>
        <v>0.2</v>
      </c>
      <c r="L28" s="77" t="e">
        <f>IF(AND(size&gt;=1,#REF!&gt;0.3),0.35,1/J28*100)</f>
        <v>#REF!</v>
      </c>
      <c r="M28" s="73" t="e">
        <f>IF(AND(size&gt;16,#REF!&gt;=1),0.35,IF(AND(size&gt;16,#REF!&gt;=0.3),(0.25+(1/J28*100)),1.75/J28*100))</f>
        <v>#REF!</v>
      </c>
      <c r="N28" s="156">
        <f>IF(size&lt;=15,"#N/A",IF(OR('Area Calc for Velocity value'!$P$38=2,'Area Calc for Velocity value'!$P$38=4),"#N/A",IF(size&gt;200," #NA", K28)))</f>
        <v>0.2</v>
      </c>
      <c r="O28" s="78" t="str">
        <f t="shared" si="2"/>
        <v xml:space="preserve">  #NA</v>
      </c>
      <c r="P28" s="78">
        <f>IF('Area Calc for Velocity value'!$P$38=1,IF(C28&gt;0.15,0.3,0.5/D28*100)," #NA")</f>
        <v>0.3</v>
      </c>
      <c r="Q28" s="78">
        <f t="shared" si="3"/>
        <v>0.3</v>
      </c>
      <c r="R28" s="116">
        <f>IF(size=15,O28,IF('Area Calc for Velocity value'!$P$38=3,Q28,P28))</f>
        <v>0.3</v>
      </c>
      <c r="S28" s="116">
        <f t="shared" si="4"/>
        <v>0.15</v>
      </c>
      <c r="T28" s="77" t="e">
        <f>IF(AND(size&gt;=1,#REF!&gt;0.3),0.35,1/X28*100)</f>
        <v>#REF!</v>
      </c>
      <c r="U28" s="73" t="e">
        <f>IF(AND(size&gt;16,#REF!&gt;=1),0.35,IF(AND(size&gt;16,#REF!&gt;=0.3),(0.25+(1/X28*100)),1.75/X28*100))</f>
        <v>#REF!</v>
      </c>
      <c r="V28" s="156">
        <f>IF(size&lt;=15,"#N/A",IF(OR('Area Calc for Velocity value'!$P$38=2,'Area Calc for Velocity value'!$P$38=4),"#N/A",IF(size&gt;200," #NA", S28)))</f>
        <v>0.15</v>
      </c>
      <c r="W28" s="170">
        <f>IF('Area Calc for Velocity value'!$P$38=1,IF(size&gt;=25,IF(C28&gt;0.3,0.35,2/D28*100), " #NA"))</f>
        <v>0.35</v>
      </c>
      <c r="X28" s="159">
        <f t="shared" si="8"/>
        <v>0.35</v>
      </c>
      <c r="Z28" s="96">
        <f t="shared" si="9"/>
        <v>42.5</v>
      </c>
      <c r="AA28" s="104">
        <f>IF('Accuracy Statement'!$D$9&gt;10,"ERROR",J28)</f>
        <v>0.35</v>
      </c>
      <c r="AB28" s="1">
        <f>IF('Accuracy Statement'!$D$9&gt;10,"ERROR",N28)</f>
        <v>0.2</v>
      </c>
      <c r="AC28" s="104">
        <f>IF('Accuracy Statement'!$D$9&gt;10,"ERROR",R28)</f>
        <v>0.3</v>
      </c>
      <c r="AD28" s="1">
        <f>IF('Accuracy Statement'!$D$9&gt;10,"ERROR",V28)</f>
        <v>0.15</v>
      </c>
      <c r="AE28" s="104">
        <f>IF('Accuracy Statement'!$D$9&gt;10,"ERROR",X28)</f>
        <v>0.35</v>
      </c>
      <c r="AF28" s="107">
        <f>IF('Accuracy Statement'!$D$9&gt;10,"ERROR",0.5+(1/D28*100))</f>
        <v>0.56652800000000003</v>
      </c>
      <c r="AG28" s="1">
        <f>IF('Accuracy Statement'!$D$9&gt;10,"ERROR",0.2+(2/D28*100))</f>
        <v>0.33305600000000002</v>
      </c>
      <c r="AH28" s="107">
        <f>IF('Accuracy Statement'!$D$9&gt;10,"ERROR",IF(C28&lt;2,0.25+1/D28*100,0.25+1.5/D28*100))</f>
        <v>0.31652800000000003</v>
      </c>
      <c r="AI28" s="1">
        <f>IF('Accuracy Statement'!$D$9&gt;10,"ERROR",IF($C28&lt;4,0.15+1/$D28*100,0.18))</f>
        <v>0.216528</v>
      </c>
      <c r="AJ28" s="110">
        <f>IF('Accuracy Statement'!$D$9&gt;10,"ERROR",0.3+1/D28*100)</f>
        <v>0.36652800000000002</v>
      </c>
      <c r="AK28" s="73">
        <f>IF('Accuracy Statement'!$D$9&gt;10,"ERROR",0.2+1/D28*100)</f>
        <v>0.26652800000000004</v>
      </c>
      <c r="AL28" s="110">
        <f>IF('Accuracy Statement'!$D$9&gt;10,"ERROR",0.3+(100*(0.0002*$AN$56)/(($C28/10)*$AN$56)))</f>
        <v>0.43305600000000005</v>
      </c>
      <c r="AM28" s="167">
        <f>IF('Accuracy Statement'!$D$9&gt;10,"ERROR",0.4+(100*(0.0002*$AN$56)/(($C28/10)*$AN$56)))</f>
        <v>0.53305600000000009</v>
      </c>
      <c r="AN28" s="110">
        <f>IF('Accuracy Statement'!$D$9&gt;10,"ERROR",0.2+(100*(0.0002*$AN$56)/(($C28/10)*$AN$56)))</f>
        <v>0.33305600000000007</v>
      </c>
      <c r="AO28" s="100">
        <f>IF('Accuracy Statement'!$D$9&gt;10,"ERROR",0.2+1/F28*100)</f>
        <v>285.91428571428571</v>
      </c>
      <c r="AP28" s="110">
        <f>IF('Accuracy Statement'!$D$9&gt;10,"ERROR",IF(C28&lt;0.25, 2.5/D28*100, 0.5+(1.25/D28)*100))</f>
        <v>0.58316000000000001</v>
      </c>
    </row>
    <row r="29" spans="2:48">
      <c r="B29" s="87">
        <v>40</v>
      </c>
      <c r="C29" s="2">
        <f t="shared" si="5"/>
        <v>1.4147072970602379</v>
      </c>
      <c r="D29" s="88">
        <f t="shared" si="6"/>
        <v>1414.7072970602378</v>
      </c>
      <c r="E29" s="79" t="str">
        <f t="shared" si="0"/>
        <v xml:space="preserve">  #NA</v>
      </c>
      <c r="F29" s="31">
        <f>IF('Area Calc for Velocity value'!$P$38=1,IF(C29&gt;0.15,0.35,0.5/D29*100)," #NA")</f>
        <v>0.35</v>
      </c>
      <c r="G29" s="31">
        <f t="shared" si="1"/>
        <v>0.35</v>
      </c>
      <c r="H29" s="116">
        <f>IF(size=15,E29,IF('Area Calc for Velocity value'!$P$38=3,G29,F29))</f>
        <v>0.35</v>
      </c>
      <c r="I29" s="31" t="str">
        <f>IF('Area Calc for Velocity value'!$P$38=2,IF(size&gt;=50,IF(C29&gt;0.3,0.35,1/D29*100), " #NA"),IF(AND('Area Calc for Velocity value'!$P$38=4,size&gt;=25),IF(C29&gt;0.3,0.35,1/D29*100),"#NA"))</f>
        <v>#NA</v>
      </c>
      <c r="J29" s="119">
        <f>IF(OR('Area Calc for Velocity value'!$P$38=3, 'Area Calc for Velocity value'!$P$38=1),H29,I29)</f>
        <v>0.35</v>
      </c>
      <c r="K29" s="79">
        <f t="shared" si="7"/>
        <v>0.2</v>
      </c>
      <c r="L29" s="77" t="e">
        <f>IF(AND(size&gt;=1,#REF!&gt;0.3),0.35,1/J29*100)</f>
        <v>#REF!</v>
      </c>
      <c r="M29" s="73" t="e">
        <f>IF(AND(size&gt;16,#REF!&gt;=1),0.35,IF(AND(size&gt;16,#REF!&gt;=0.3),(0.25+(1/J29*100)),1.75/J29*100))</f>
        <v>#REF!</v>
      </c>
      <c r="N29" s="156">
        <f>IF(size&lt;=15,"#N/A",IF(OR('Area Calc for Velocity value'!$P$38=2,'Area Calc for Velocity value'!$P$38=4),"#N/A",IF(size&gt;200," #NA", K29)))</f>
        <v>0.2</v>
      </c>
      <c r="O29" s="78" t="str">
        <f t="shared" si="2"/>
        <v xml:space="preserve">  #NA</v>
      </c>
      <c r="P29" s="78">
        <f>IF('Area Calc for Velocity value'!$P$38=1,IF(C29&gt;0.15,0.3,0.5/D29*100)," #NA")</f>
        <v>0.3</v>
      </c>
      <c r="Q29" s="78">
        <f t="shared" si="3"/>
        <v>0.3</v>
      </c>
      <c r="R29" s="116">
        <f>IF(size=15,O29,IF('Area Calc for Velocity value'!$P$38=3,Q29,P29))</f>
        <v>0.3</v>
      </c>
      <c r="S29" s="116">
        <f t="shared" si="4"/>
        <v>0.15</v>
      </c>
      <c r="T29" s="77" t="e">
        <f>IF(AND(size&gt;=1,#REF!&gt;0.3),0.35,1/X29*100)</f>
        <v>#REF!</v>
      </c>
      <c r="U29" s="73" t="e">
        <f>IF(AND(size&gt;16,#REF!&gt;=1),0.35,IF(AND(size&gt;16,#REF!&gt;=0.3),(0.25+(1/X29*100)),1.75/X29*100))</f>
        <v>#REF!</v>
      </c>
      <c r="V29" s="156">
        <f>IF(size&lt;=15,"#N/A",IF(OR('Area Calc for Velocity value'!$P$38=2,'Area Calc for Velocity value'!$P$38=4),"#N/A",IF(size&gt;200," #NA", S29)))</f>
        <v>0.15</v>
      </c>
      <c r="W29" s="170">
        <f>IF('Area Calc for Velocity value'!$P$38=1,IF(size&gt;=25,IF(C29&gt;0.3,0.35,2/D29*100), " #NA"))</f>
        <v>0.35</v>
      </c>
      <c r="X29" s="159">
        <f t="shared" si="8"/>
        <v>0.35</v>
      </c>
      <c r="Z29" s="96">
        <f t="shared" si="9"/>
        <v>40</v>
      </c>
      <c r="AA29" s="104">
        <f>IF('Accuracy Statement'!$D$9&gt;10,"ERROR",J29)</f>
        <v>0.35</v>
      </c>
      <c r="AB29" s="1">
        <f>IF('Accuracy Statement'!$D$9&gt;10,"ERROR",N29)</f>
        <v>0.2</v>
      </c>
      <c r="AC29" s="104">
        <f>IF('Accuracy Statement'!$D$9&gt;10,"ERROR",R29)</f>
        <v>0.3</v>
      </c>
      <c r="AD29" s="1">
        <f>IF('Accuracy Statement'!$D$9&gt;10,"ERROR",V29)</f>
        <v>0.15</v>
      </c>
      <c r="AE29" s="104">
        <f>IF('Accuracy Statement'!$D$9&gt;10,"ERROR",X29)</f>
        <v>0.35</v>
      </c>
      <c r="AF29" s="107">
        <f>IF('Accuracy Statement'!$D$9&gt;10,"ERROR",0.5+(1/D29*100))</f>
        <v>0.57068600000000003</v>
      </c>
      <c r="AG29" s="1">
        <f>IF('Accuracy Statement'!$D$9&gt;10,"ERROR",0.2+(2/D29*100))</f>
        <v>0.34137200000000006</v>
      </c>
      <c r="AH29" s="107">
        <f>IF('Accuracy Statement'!$D$9&gt;10,"ERROR",IF(C29&lt;2,0.25+1/D29*100,0.25+1.5/D29*100))</f>
        <v>0.32068600000000003</v>
      </c>
      <c r="AI29" s="1">
        <f>IF('Accuracy Statement'!$D$9&gt;10,"ERROR",IF($C29&lt;4,0.15+1/$D29*100,0.18))</f>
        <v>0.22068600000000002</v>
      </c>
      <c r="AJ29" s="110">
        <f>IF('Accuracy Statement'!$D$9&gt;10,"ERROR",0.3+1/D29*100)</f>
        <v>0.37068600000000002</v>
      </c>
      <c r="AK29" s="73">
        <f>IF('Accuracy Statement'!$D$9&gt;10,"ERROR",0.2+1/D29*100)</f>
        <v>0.27068600000000004</v>
      </c>
      <c r="AL29" s="110">
        <f>IF('Accuracy Statement'!$D$9&gt;10,"ERROR",0.3+(100*(0.0002*$AN$56)/(($C29/10)*$AN$56)))</f>
        <v>0.44137199999999999</v>
      </c>
      <c r="AM29" s="167">
        <f>IF('Accuracy Statement'!$D$9&gt;10,"ERROR",0.4+(100*(0.0002*$AN$56)/(($C29/10)*$AN$56)))</f>
        <v>0.54137200000000008</v>
      </c>
      <c r="AN29" s="110">
        <f>IF('Accuracy Statement'!$D$9&gt;10,"ERROR",0.2+(100*(0.0002*$AN$56)/(($C29/10)*$AN$56)))</f>
        <v>0.34137200000000001</v>
      </c>
      <c r="AO29" s="100">
        <f>IF('Accuracy Statement'!$D$9&gt;10,"ERROR",0.2+1/F29*100)</f>
        <v>285.91428571428571</v>
      </c>
      <c r="AP29" s="110">
        <f>IF('Accuracy Statement'!$D$9&gt;10,"ERROR",IF(C29&lt;0.25, 2.5/D29*100, 0.5+(1.25/D29)*100))</f>
        <v>0.58835750000000009</v>
      </c>
    </row>
    <row r="30" spans="2:48">
      <c r="B30" s="87">
        <v>37.5</v>
      </c>
      <c r="C30" s="2">
        <f t="shared" si="5"/>
        <v>1.3262880909939729</v>
      </c>
      <c r="D30" s="88">
        <f t="shared" si="6"/>
        <v>1326.2880909939729</v>
      </c>
      <c r="E30" s="79" t="str">
        <f t="shared" si="0"/>
        <v xml:space="preserve">  #NA</v>
      </c>
      <c r="F30" s="31">
        <f>IF('Area Calc for Velocity value'!$P$38=1,IF(C30&gt;0.15,0.35,0.5/D30*100)," #NA")</f>
        <v>0.35</v>
      </c>
      <c r="G30" s="31">
        <f t="shared" si="1"/>
        <v>0.35</v>
      </c>
      <c r="H30" s="116">
        <f>IF(size=15,E30,IF('Area Calc for Velocity value'!$P$38=3,G30,F30))</f>
        <v>0.35</v>
      </c>
      <c r="I30" s="31" t="str">
        <f>IF('Area Calc for Velocity value'!$P$38=2,IF(size&gt;=50,IF(C30&gt;0.3,0.35,1/D30*100), " #NA"),IF(AND('Area Calc for Velocity value'!$P$38=4,size&gt;=25),IF(C30&gt;0.3,0.35,1/D30*100),"#NA"))</f>
        <v>#NA</v>
      </c>
      <c r="J30" s="119">
        <f>IF(OR('Area Calc for Velocity value'!$P$38=3, 'Area Calc for Velocity value'!$P$38=1),H30,I30)</f>
        <v>0.35</v>
      </c>
      <c r="K30" s="79">
        <f t="shared" si="7"/>
        <v>0.2</v>
      </c>
      <c r="L30" s="77" t="e">
        <f>IF(AND(size&gt;=1,#REF!&gt;0.3),0.35,1/J30*100)</f>
        <v>#REF!</v>
      </c>
      <c r="M30" s="73" t="e">
        <f>IF(AND(size&gt;16,#REF!&gt;=1),0.35,IF(AND(size&gt;16,#REF!&gt;=0.3),(0.25+(1/J30*100)),1.75/J30*100))</f>
        <v>#REF!</v>
      </c>
      <c r="N30" s="156">
        <f>IF(size&lt;=15,"#N/A",IF(OR('Area Calc for Velocity value'!$P$38=2,'Area Calc for Velocity value'!$P$38=4),"#N/A",IF(size&gt;200," #NA", K30)))</f>
        <v>0.2</v>
      </c>
      <c r="O30" s="78" t="str">
        <f t="shared" si="2"/>
        <v xml:space="preserve">  #NA</v>
      </c>
      <c r="P30" s="78">
        <f>IF('Area Calc for Velocity value'!$P$38=1,IF(C30&gt;0.15,0.3,0.5/D30*100)," #NA")</f>
        <v>0.3</v>
      </c>
      <c r="Q30" s="78">
        <f t="shared" si="3"/>
        <v>0.3</v>
      </c>
      <c r="R30" s="116">
        <f>IF(size=15,O30,IF('Area Calc for Velocity value'!$P$38=3,Q30,P30))</f>
        <v>0.3</v>
      </c>
      <c r="S30" s="116">
        <f t="shared" si="4"/>
        <v>0.15</v>
      </c>
      <c r="T30" s="77" t="e">
        <f>IF(AND(size&gt;=1,#REF!&gt;0.3),0.35,1/X30*100)</f>
        <v>#REF!</v>
      </c>
      <c r="U30" s="73" t="e">
        <f>IF(AND(size&gt;16,#REF!&gt;=1),0.35,IF(AND(size&gt;16,#REF!&gt;=0.3),(0.25+(1/X30*100)),1.75/X30*100))</f>
        <v>#REF!</v>
      </c>
      <c r="V30" s="156">
        <f>IF(size&lt;=15,"#N/A",IF(OR('Area Calc for Velocity value'!$P$38=2,'Area Calc for Velocity value'!$P$38=4),"#N/A",IF(size&gt;200," #NA", S30)))</f>
        <v>0.15</v>
      </c>
      <c r="W30" s="170">
        <f>IF('Area Calc for Velocity value'!$P$38=1,IF(size&gt;=25,IF(C30&gt;0.3,0.35,2/D30*100), " #NA"))</f>
        <v>0.35</v>
      </c>
      <c r="X30" s="159">
        <f t="shared" si="8"/>
        <v>0.35</v>
      </c>
      <c r="Z30" s="96">
        <f t="shared" si="9"/>
        <v>37.5</v>
      </c>
      <c r="AA30" s="104">
        <f>IF('Accuracy Statement'!$D$9&gt;10,"ERROR",J30)</f>
        <v>0.35</v>
      </c>
      <c r="AB30" s="1">
        <f>IF('Accuracy Statement'!$D$9&gt;10,"ERROR",N30)</f>
        <v>0.2</v>
      </c>
      <c r="AC30" s="104">
        <f>IF('Accuracy Statement'!$D$9&gt;10,"ERROR",R30)</f>
        <v>0.3</v>
      </c>
      <c r="AD30" s="1">
        <f>IF('Accuracy Statement'!$D$9&gt;10,"ERROR",V30)</f>
        <v>0.15</v>
      </c>
      <c r="AE30" s="104">
        <f>IF('Accuracy Statement'!$D$9&gt;10,"ERROR",X30)</f>
        <v>0.35</v>
      </c>
      <c r="AF30" s="107">
        <f>IF('Accuracy Statement'!$D$9&gt;10,"ERROR",0.5+(1/D30*100))</f>
        <v>0.57539840000000009</v>
      </c>
      <c r="AG30" s="1">
        <f>IF('Accuracy Statement'!$D$9&gt;10,"ERROR",0.2+(2/D30*100))</f>
        <v>0.35079680000000008</v>
      </c>
      <c r="AH30" s="107">
        <f>IF('Accuracy Statement'!$D$9&gt;10,"ERROR",IF(C30&lt;2,0.25+1/D30*100,0.25+1.5/D30*100))</f>
        <v>0.32539840000000003</v>
      </c>
      <c r="AI30" s="1">
        <f>IF('Accuracy Statement'!$D$9&gt;10,"ERROR",IF($C30&lt;4,0.15+1/$D30*100,0.18))</f>
        <v>0.22539840000000003</v>
      </c>
      <c r="AJ30" s="110">
        <f>IF('Accuracy Statement'!$D$9&gt;10,"ERROR",0.3+1/D30*100)</f>
        <v>0.37539840000000002</v>
      </c>
      <c r="AK30" s="73">
        <f>IF('Accuracy Statement'!$D$9&gt;10,"ERROR",0.2+1/D30*100)</f>
        <v>0.27539840000000004</v>
      </c>
      <c r="AL30" s="110">
        <f>IF('Accuracy Statement'!$D$9&gt;10,"ERROR",0.3+(100*(0.0002*$AN$56)/(($C30/10)*$AN$56)))</f>
        <v>0.4507968</v>
      </c>
      <c r="AM30" s="167">
        <f>IF('Accuracy Statement'!$D$9&gt;10,"ERROR",0.4+(100*(0.0002*$AN$56)/(($C30/10)*$AN$56)))</f>
        <v>0.55079680000000009</v>
      </c>
      <c r="AN30" s="110">
        <f>IF('Accuracy Statement'!$D$9&gt;10,"ERROR",0.2+(100*(0.0002*$AN$56)/(($C30/10)*$AN$56)))</f>
        <v>0.35079680000000002</v>
      </c>
      <c r="AO30" s="100">
        <f>IF('Accuracy Statement'!$D$9&gt;10,"ERROR",0.2+1/F30*100)</f>
        <v>285.91428571428571</v>
      </c>
      <c r="AP30" s="110">
        <f>IF('Accuracy Statement'!$D$9&gt;10,"ERROR",IF(C30&lt;0.25, 2.5/D30*100, 0.5+(1.25/D30)*100))</f>
        <v>0.594248</v>
      </c>
    </row>
    <row r="31" spans="2:48">
      <c r="B31" s="87">
        <v>35</v>
      </c>
      <c r="C31" s="2">
        <f t="shared" si="5"/>
        <v>1.237868884927708</v>
      </c>
      <c r="D31" s="88">
        <f t="shared" si="6"/>
        <v>1237.868884927708</v>
      </c>
      <c r="E31" s="79" t="str">
        <f t="shared" si="0"/>
        <v xml:space="preserve">  #NA</v>
      </c>
      <c r="F31" s="31">
        <f>IF('Area Calc for Velocity value'!$P$38=1,IF(C31&gt;0.15,0.35,0.5/D31*100)," #NA")</f>
        <v>0.35</v>
      </c>
      <c r="G31" s="31">
        <f t="shared" si="1"/>
        <v>0.35</v>
      </c>
      <c r="H31" s="116">
        <f>IF(size=15,E31,IF('Area Calc for Velocity value'!$P$38=3,G31,F31))</f>
        <v>0.35</v>
      </c>
      <c r="I31" s="31" t="str">
        <f>IF('Area Calc for Velocity value'!$P$38=2,IF(size&gt;=50,IF(C31&gt;0.3,0.35,1/D31*100), " #NA"),IF(AND('Area Calc for Velocity value'!$P$38=4,size&gt;=25),IF(C31&gt;0.3,0.35,1/D31*100),"#NA"))</f>
        <v>#NA</v>
      </c>
      <c r="J31" s="119">
        <f>IF(OR('Area Calc for Velocity value'!$P$38=3, 'Area Calc for Velocity value'!$P$38=1),H31,I31)</f>
        <v>0.35</v>
      </c>
      <c r="K31" s="79">
        <f t="shared" si="7"/>
        <v>0.2</v>
      </c>
      <c r="L31" s="77" t="e">
        <f>IF(AND(size&gt;=1,#REF!&gt;0.3),0.35,1/J31*100)</f>
        <v>#REF!</v>
      </c>
      <c r="M31" s="73" t="e">
        <f>IF(AND(size&gt;16,#REF!&gt;=1),0.35,IF(AND(size&gt;16,#REF!&gt;=0.3),(0.25+(1/J31*100)),1.75/J31*100))</f>
        <v>#REF!</v>
      </c>
      <c r="N31" s="156">
        <f>IF(size&lt;=15,"#N/A",IF(OR('Area Calc for Velocity value'!$P$38=2,'Area Calc for Velocity value'!$P$38=4),"#N/A",IF(size&gt;200," #NA", K31)))</f>
        <v>0.2</v>
      </c>
      <c r="O31" s="78" t="str">
        <f t="shared" si="2"/>
        <v xml:space="preserve">  #NA</v>
      </c>
      <c r="P31" s="78">
        <f>IF('Area Calc for Velocity value'!$P$38=1,IF(C31&gt;0.15,0.3,0.5/D31*100)," #NA")</f>
        <v>0.3</v>
      </c>
      <c r="Q31" s="78">
        <f t="shared" si="3"/>
        <v>0.3</v>
      </c>
      <c r="R31" s="116">
        <f>IF(size=15,O31,IF('Area Calc for Velocity value'!$P$38=3,Q31,P31))</f>
        <v>0.3</v>
      </c>
      <c r="S31" s="116">
        <f t="shared" si="4"/>
        <v>0.15</v>
      </c>
      <c r="T31" s="77" t="e">
        <f>IF(AND(size&gt;=1,#REF!&gt;0.3),0.35,1/X31*100)</f>
        <v>#REF!</v>
      </c>
      <c r="U31" s="73" t="e">
        <f>IF(AND(size&gt;16,#REF!&gt;=1),0.35,IF(AND(size&gt;16,#REF!&gt;=0.3),(0.25+(1/X31*100)),1.75/X31*100))</f>
        <v>#REF!</v>
      </c>
      <c r="V31" s="156">
        <f>IF(size&lt;=15,"#N/A",IF(OR('Area Calc for Velocity value'!$P$38=2,'Area Calc for Velocity value'!$P$38=4),"#N/A",IF(size&gt;200," #NA", S31)))</f>
        <v>0.15</v>
      </c>
      <c r="W31" s="170">
        <f>IF('Area Calc for Velocity value'!$P$38=1,IF(size&gt;=25,IF(C31&gt;0.3,0.35,2/D31*100), " #NA"))</f>
        <v>0.35</v>
      </c>
      <c r="X31" s="159">
        <f t="shared" si="8"/>
        <v>0.35</v>
      </c>
      <c r="Z31" s="96">
        <f t="shared" si="9"/>
        <v>35</v>
      </c>
      <c r="AA31" s="104">
        <f>IF('Accuracy Statement'!$D$9&gt;10,"ERROR",J31)</f>
        <v>0.35</v>
      </c>
      <c r="AB31" s="1">
        <f>IF('Accuracy Statement'!$D$9&gt;10,"ERROR",N31)</f>
        <v>0.2</v>
      </c>
      <c r="AC31" s="104">
        <f>IF('Accuracy Statement'!$D$9&gt;10,"ERROR",R31)</f>
        <v>0.3</v>
      </c>
      <c r="AD31" s="1">
        <f>IF('Accuracy Statement'!$D$9&gt;10,"ERROR",V31)</f>
        <v>0.15</v>
      </c>
      <c r="AE31" s="104">
        <f>IF('Accuracy Statement'!$D$9&gt;10,"ERROR",X31)</f>
        <v>0.35</v>
      </c>
      <c r="AF31" s="107">
        <f>IF('Accuracy Statement'!$D$9&gt;10,"ERROR",0.5+(1/D31*100))</f>
        <v>0.58078400000000008</v>
      </c>
      <c r="AG31" s="1">
        <f>IF('Accuracy Statement'!$D$9&gt;10,"ERROR",0.2+(2/D31*100))</f>
        <v>0.36156800000000011</v>
      </c>
      <c r="AH31" s="107">
        <f>IF('Accuracy Statement'!$D$9&gt;10,"ERROR",IF(C31&lt;2,0.25+1/D31*100,0.25+1.5/D31*100))</f>
        <v>0.33078400000000002</v>
      </c>
      <c r="AI31" s="1">
        <f>IF('Accuracy Statement'!$D$9&gt;10,"ERROR",IF($C31&lt;4,0.15+1/$D31*100,0.18))</f>
        <v>0.23078400000000004</v>
      </c>
      <c r="AJ31" s="110">
        <f>IF('Accuracy Statement'!$D$9&gt;10,"ERROR",0.3+1/D31*100)</f>
        <v>0.38078400000000001</v>
      </c>
      <c r="AK31" s="73">
        <f>IF('Accuracy Statement'!$D$9&gt;10,"ERROR",0.2+1/D31*100)</f>
        <v>0.28078400000000003</v>
      </c>
      <c r="AL31" s="110">
        <f>IF('Accuracy Statement'!$D$9&gt;10,"ERROR",0.3+(100*(0.0002*$AN$56)/(($C31/10)*$AN$56)))</f>
        <v>0.46156800000000009</v>
      </c>
      <c r="AM31" s="167">
        <f>IF('Accuracy Statement'!$D$9&gt;10,"ERROR",0.4+(100*(0.0002*$AN$56)/(($C31/10)*$AN$56)))</f>
        <v>0.56156800000000007</v>
      </c>
      <c r="AN31" s="110">
        <f>IF('Accuracy Statement'!$D$9&gt;10,"ERROR",0.2+(100*(0.0002*$AN$56)/(($C31/10)*$AN$56)))</f>
        <v>0.36156800000000011</v>
      </c>
      <c r="AO31" s="100">
        <f>IF('Accuracy Statement'!$D$9&gt;10,"ERROR",0.2+1/F31*100)</f>
        <v>285.91428571428571</v>
      </c>
      <c r="AP31" s="110">
        <f>IF('Accuracy Statement'!$D$9&gt;10,"ERROR",IF(C31&lt;0.25, 2.5/D31*100, 0.5+(1.25/D31)*100))</f>
        <v>0.60098000000000007</v>
      </c>
    </row>
    <row r="32" spans="2:48">
      <c r="B32" s="87">
        <v>32.5</v>
      </c>
      <c r="C32" s="2">
        <f t="shared" si="5"/>
        <v>1.1494496788614432</v>
      </c>
      <c r="D32" s="88">
        <f t="shared" si="6"/>
        <v>1149.4496788614433</v>
      </c>
      <c r="E32" s="79" t="str">
        <f t="shared" si="0"/>
        <v xml:space="preserve">  #NA</v>
      </c>
      <c r="F32" s="31">
        <f>IF('Area Calc for Velocity value'!$P$38=1,IF(C32&gt;0.15,0.35,0.5/D32*100)," #NA")</f>
        <v>0.35</v>
      </c>
      <c r="G32" s="31">
        <f t="shared" si="1"/>
        <v>0.35</v>
      </c>
      <c r="H32" s="116">
        <f>IF(size=15,E32,IF('Area Calc for Velocity value'!$P$38=3,G32,F32))</f>
        <v>0.35</v>
      </c>
      <c r="I32" s="31" t="str">
        <f>IF('Area Calc for Velocity value'!$P$38=2,IF(size&gt;=50,IF(C32&gt;0.3,0.35,1/D32*100), " #NA"),IF(AND('Area Calc for Velocity value'!$P$38=4,size&gt;=25),IF(C32&gt;0.3,0.35,1/D32*100),"#NA"))</f>
        <v>#NA</v>
      </c>
      <c r="J32" s="119">
        <f>IF(OR('Area Calc for Velocity value'!$P$38=3, 'Area Calc for Velocity value'!$P$38=1),H32,I32)</f>
        <v>0.35</v>
      </c>
      <c r="K32" s="79">
        <f t="shared" si="7"/>
        <v>0.2</v>
      </c>
      <c r="L32" s="77" t="e">
        <f>IF(AND(size&gt;=1,#REF!&gt;0.3),0.35,1/J32*100)</f>
        <v>#REF!</v>
      </c>
      <c r="M32" s="73" t="e">
        <f>IF(AND(size&gt;16,#REF!&gt;=1),0.35,IF(AND(size&gt;16,#REF!&gt;=0.3),(0.25+(1/J32*100)),1.75/J32*100))</f>
        <v>#REF!</v>
      </c>
      <c r="N32" s="156">
        <f>IF(size&lt;=15,"#N/A",IF(OR('Area Calc for Velocity value'!$P$38=2,'Area Calc for Velocity value'!$P$38=4),"#N/A",IF(size&gt;200," #NA", K32)))</f>
        <v>0.2</v>
      </c>
      <c r="O32" s="78" t="str">
        <f t="shared" si="2"/>
        <v xml:space="preserve">  #NA</v>
      </c>
      <c r="P32" s="78">
        <f>IF('Area Calc for Velocity value'!$P$38=1,IF(C32&gt;0.15,0.3,0.5/D32*100)," #NA")</f>
        <v>0.3</v>
      </c>
      <c r="Q32" s="78">
        <f t="shared" si="3"/>
        <v>0.3</v>
      </c>
      <c r="R32" s="116">
        <f>IF(size=15,O32,IF('Area Calc for Velocity value'!$P$38=3,Q32,P32))</f>
        <v>0.3</v>
      </c>
      <c r="S32" s="116">
        <f t="shared" si="4"/>
        <v>0.15</v>
      </c>
      <c r="T32" s="77" t="e">
        <f>IF(AND(size&gt;=1,#REF!&gt;0.3),0.35,1/X32*100)</f>
        <v>#REF!</v>
      </c>
      <c r="U32" s="73" t="e">
        <f>IF(AND(size&gt;16,#REF!&gt;=1),0.35,IF(AND(size&gt;16,#REF!&gt;=0.3),(0.25+(1/X32*100)),1.75/X32*100))</f>
        <v>#REF!</v>
      </c>
      <c r="V32" s="156">
        <f>IF(size&lt;=15,"#N/A",IF(OR('Area Calc for Velocity value'!$P$38=2,'Area Calc for Velocity value'!$P$38=4),"#N/A",IF(size&gt;200," #NA", S32)))</f>
        <v>0.15</v>
      </c>
      <c r="W32" s="170">
        <f>IF('Area Calc for Velocity value'!$P$38=1,IF(size&gt;=25,IF(C32&gt;0.3,0.35,2/D32*100), " #NA"))</f>
        <v>0.35</v>
      </c>
      <c r="X32" s="159">
        <f t="shared" si="8"/>
        <v>0.35</v>
      </c>
      <c r="Z32" s="96">
        <f t="shared" si="9"/>
        <v>32.5</v>
      </c>
      <c r="AA32" s="104">
        <f>IF('Accuracy Statement'!$D$9&gt;10,"ERROR",J32)</f>
        <v>0.35</v>
      </c>
      <c r="AB32" s="1">
        <f>IF('Accuracy Statement'!$D$9&gt;10,"ERROR",N32)</f>
        <v>0.2</v>
      </c>
      <c r="AC32" s="104">
        <f>IF('Accuracy Statement'!$D$9&gt;10,"ERROR",R32)</f>
        <v>0.3</v>
      </c>
      <c r="AD32" s="1">
        <f>IF('Accuracy Statement'!$D$9&gt;10,"ERROR",V32)</f>
        <v>0.15</v>
      </c>
      <c r="AE32" s="104">
        <f>IF('Accuracy Statement'!$D$9&gt;10,"ERROR",X32)</f>
        <v>0.35</v>
      </c>
      <c r="AF32" s="107">
        <f>IF('Accuracy Statement'!$D$9&gt;10,"ERROR",0.5+(1/D32*100))</f>
        <v>0.58699815384615384</v>
      </c>
      <c r="AG32" s="1">
        <f>IF('Accuracy Statement'!$D$9&gt;10,"ERROR",0.2+(2/D32*100))</f>
        <v>0.37399630769230774</v>
      </c>
      <c r="AH32" s="107">
        <f>IF('Accuracy Statement'!$D$9&gt;10,"ERROR",IF(C32&lt;2,0.25+1/D32*100,0.25+1.5/D32*100))</f>
        <v>0.33699815384615384</v>
      </c>
      <c r="AI32" s="1">
        <f>IF('Accuracy Statement'!$D$9&gt;10,"ERROR",IF($C32&lt;4,0.15+1/$D32*100,0.18))</f>
        <v>0.23699815384615386</v>
      </c>
      <c r="AJ32" s="110">
        <f>IF('Accuracy Statement'!$D$9&gt;10,"ERROR",0.3+1/D32*100)</f>
        <v>0.38699815384615388</v>
      </c>
      <c r="AK32" s="73">
        <f>IF('Accuracy Statement'!$D$9&gt;10,"ERROR",0.2+1/D32*100)</f>
        <v>0.2869981538461539</v>
      </c>
      <c r="AL32" s="110">
        <f>IF('Accuracy Statement'!$D$9&gt;10,"ERROR",0.3+(100*(0.0002*$AN$56)/(($C32/10)*$AN$56)))</f>
        <v>0.47399630769230772</v>
      </c>
      <c r="AM32" s="167">
        <f>IF('Accuracy Statement'!$D$9&gt;10,"ERROR",0.4+(100*(0.0002*$AN$56)/(($C32/10)*$AN$56)))</f>
        <v>0.57399630769230781</v>
      </c>
      <c r="AN32" s="110">
        <f>IF('Accuracy Statement'!$D$9&gt;10,"ERROR",0.2+(100*(0.0002*$AN$56)/(($C32/10)*$AN$56)))</f>
        <v>0.37399630769230774</v>
      </c>
      <c r="AO32" s="100">
        <f>IF('Accuracy Statement'!$D$9&gt;10,"ERROR",0.2+1/F32*100)</f>
        <v>285.91428571428571</v>
      </c>
      <c r="AP32" s="110">
        <f>IF('Accuracy Statement'!$D$9&gt;10,"ERROR",IF(C32&lt;0.25, 2.5/D32*100, 0.5+(1.25/D32)*100))</f>
        <v>0.60874769230769232</v>
      </c>
    </row>
    <row r="33" spans="2:42">
      <c r="B33" s="87">
        <v>30</v>
      </c>
      <c r="C33" s="2">
        <f t="shared" si="5"/>
        <v>1.0610304727951783</v>
      </c>
      <c r="D33" s="88">
        <f t="shared" si="6"/>
        <v>1061.0304727951782</v>
      </c>
      <c r="E33" s="79" t="str">
        <f t="shared" si="0"/>
        <v xml:space="preserve">  #NA</v>
      </c>
      <c r="F33" s="31">
        <f>IF('Area Calc for Velocity value'!$P$38=1,IF(C33&gt;0.15,0.35,0.5/D33*100)," #NA")</f>
        <v>0.35</v>
      </c>
      <c r="G33" s="31">
        <f t="shared" si="1"/>
        <v>0.35</v>
      </c>
      <c r="H33" s="116">
        <f>IF(size=15,E33,IF('Area Calc for Velocity value'!$P$38=3,G33,F33))</f>
        <v>0.35</v>
      </c>
      <c r="I33" s="31" t="str">
        <f>IF('Area Calc for Velocity value'!$P$38=2,IF(size&gt;=50,IF(C33&gt;0.3,0.35,1/D33*100), " #NA"),IF(AND('Area Calc for Velocity value'!$P$38=4,size&gt;=25),IF(C33&gt;0.3,0.35,1/D33*100),"#NA"))</f>
        <v>#NA</v>
      </c>
      <c r="J33" s="119">
        <f>IF(OR('Area Calc for Velocity value'!$P$38=3, 'Area Calc for Velocity value'!$P$38=1),H33,I33)</f>
        <v>0.35</v>
      </c>
      <c r="K33" s="79">
        <f t="shared" si="7"/>
        <v>0.2</v>
      </c>
      <c r="L33" s="77" t="e">
        <f>IF(AND(size&gt;=1,#REF!&gt;0.3),0.35,1/J33*100)</f>
        <v>#REF!</v>
      </c>
      <c r="M33" s="73" t="e">
        <f>IF(AND(size&gt;16,#REF!&gt;=1),0.35,IF(AND(size&gt;16,#REF!&gt;=0.3),(0.25+(1/J33*100)),1.75/J33*100))</f>
        <v>#REF!</v>
      </c>
      <c r="N33" s="156">
        <f>IF(size&lt;=15,"#N/A",IF(OR('Area Calc for Velocity value'!$P$38=2,'Area Calc for Velocity value'!$P$38=4),"#N/A",IF(size&gt;200," #NA", K33)))</f>
        <v>0.2</v>
      </c>
      <c r="O33" s="78" t="str">
        <f t="shared" si="2"/>
        <v xml:space="preserve">  #NA</v>
      </c>
      <c r="P33" s="78">
        <f>IF('Area Calc for Velocity value'!$P$38=1,IF(C33&gt;0.15,0.3,0.5/D33*100)," #NA")</f>
        <v>0.3</v>
      </c>
      <c r="Q33" s="78">
        <f t="shared" si="3"/>
        <v>0.3</v>
      </c>
      <c r="R33" s="116">
        <f>IF(size=15,O33,IF('Area Calc for Velocity value'!$P$38=3,Q33,P33))</f>
        <v>0.3</v>
      </c>
      <c r="S33" s="116">
        <f t="shared" si="4"/>
        <v>0.15</v>
      </c>
      <c r="T33" s="77" t="e">
        <f>IF(AND(size&gt;=1,#REF!&gt;0.3),0.35,1/X33*100)</f>
        <v>#REF!</v>
      </c>
      <c r="U33" s="73" t="e">
        <f>IF(AND(size&gt;16,#REF!&gt;=1),0.35,IF(AND(size&gt;16,#REF!&gt;=0.3),(0.25+(1/X33*100)),1.75/X33*100))</f>
        <v>#REF!</v>
      </c>
      <c r="V33" s="156">
        <f>IF(size&lt;=15,"#N/A",IF(OR('Area Calc for Velocity value'!$P$38=2,'Area Calc for Velocity value'!$P$38=4),"#N/A",IF(size&gt;200," #NA", S33)))</f>
        <v>0.15</v>
      </c>
      <c r="W33" s="170">
        <f>IF('Area Calc for Velocity value'!$P$38=1,IF(size&gt;=25,IF(C33&gt;0.3,0.35,2/D33*100), " #NA"))</f>
        <v>0.35</v>
      </c>
      <c r="X33" s="159">
        <f t="shared" si="8"/>
        <v>0.35</v>
      </c>
      <c r="Z33" s="96">
        <f t="shared" si="9"/>
        <v>30</v>
      </c>
      <c r="AA33" s="104">
        <f>IF('Accuracy Statement'!$D$9&gt;10,"ERROR",J33)</f>
        <v>0.35</v>
      </c>
      <c r="AB33" s="1">
        <f>IF('Accuracy Statement'!$D$9&gt;10,"ERROR",N33)</f>
        <v>0.2</v>
      </c>
      <c r="AC33" s="104">
        <f>IF('Accuracy Statement'!$D$9&gt;10,"ERROR",R33)</f>
        <v>0.3</v>
      </c>
      <c r="AD33" s="1">
        <f>IF('Accuracy Statement'!$D$9&gt;10,"ERROR",V33)</f>
        <v>0.15</v>
      </c>
      <c r="AE33" s="104">
        <f>IF('Accuracy Statement'!$D$9&gt;10,"ERROR",X33)</f>
        <v>0.35</v>
      </c>
      <c r="AF33" s="107">
        <f>IF('Accuracy Statement'!$D$9&gt;10,"ERROR",0.5+(1/D33*100))</f>
        <v>0.594248</v>
      </c>
      <c r="AG33" s="1">
        <f>IF('Accuracy Statement'!$D$9&gt;10,"ERROR",0.2+(2/D33*100))</f>
        <v>0.38849600000000006</v>
      </c>
      <c r="AH33" s="107">
        <f>IF('Accuracy Statement'!$D$9&gt;10,"ERROR",IF(C33&lt;2,0.25+1/D33*100,0.25+1.5/D33*100))</f>
        <v>0.34424800000000005</v>
      </c>
      <c r="AI33" s="1">
        <f>IF('Accuracy Statement'!$D$9&gt;10,"ERROR",IF($C33&lt;4,0.15+1/$D33*100,0.18))</f>
        <v>0.24424800000000002</v>
      </c>
      <c r="AJ33" s="110">
        <f>IF('Accuracy Statement'!$D$9&gt;10,"ERROR",0.3+1/D33*100)</f>
        <v>0.39424800000000004</v>
      </c>
      <c r="AK33" s="73">
        <f>IF('Accuracy Statement'!$D$9&gt;10,"ERROR",0.2+1/D33*100)</f>
        <v>0.29424800000000007</v>
      </c>
      <c r="AL33" s="110">
        <f>IF('Accuracy Statement'!$D$9&gt;10,"ERROR",0.3+(100*(0.0002*$AN$56)/(($C33/10)*$AN$56)))</f>
        <v>0.48849600000000004</v>
      </c>
      <c r="AM33" s="167">
        <f>IF('Accuracy Statement'!$D$9&gt;10,"ERROR",0.4+(100*(0.0002*$AN$56)/(($C33/10)*$AN$56)))</f>
        <v>0.58849600000000013</v>
      </c>
      <c r="AN33" s="110">
        <f>IF('Accuracy Statement'!$D$9&gt;10,"ERROR",0.2+(100*(0.0002*$AN$56)/(($C33/10)*$AN$56)))</f>
        <v>0.38849600000000006</v>
      </c>
      <c r="AO33" s="100">
        <f>IF('Accuracy Statement'!$D$9&gt;10,"ERROR",0.2+1/F33*100)</f>
        <v>285.91428571428571</v>
      </c>
      <c r="AP33" s="110">
        <f>IF('Accuracy Statement'!$D$9&gt;10,"ERROR",IF(C33&lt;0.25, 2.5/D33*100, 0.5+(1.25/D33)*100))</f>
        <v>0.61781000000000008</v>
      </c>
    </row>
    <row r="34" spans="2:42">
      <c r="B34" s="87">
        <v>27.5</v>
      </c>
      <c r="C34" s="2">
        <f t="shared" si="5"/>
        <v>0.97261126672891363</v>
      </c>
      <c r="D34" s="88">
        <f t="shared" si="6"/>
        <v>972.61126672891362</v>
      </c>
      <c r="E34" s="79" t="str">
        <f t="shared" si="0"/>
        <v xml:space="preserve">  #NA</v>
      </c>
      <c r="F34" s="31">
        <f>IF('Area Calc for Velocity value'!$P$38=1,IF(C34&gt;0.15,0.35,0.5/D34*100)," #NA")</f>
        <v>0.35</v>
      </c>
      <c r="G34" s="31">
        <f t="shared" si="1"/>
        <v>0.35</v>
      </c>
      <c r="H34" s="116">
        <f>IF(size=15,E34,IF('Area Calc for Velocity value'!$P$38=3,G34,F34))</f>
        <v>0.35</v>
      </c>
      <c r="I34" s="31" t="str">
        <f>IF('Area Calc for Velocity value'!$P$38=2,IF(size&gt;=50,IF(C34&gt;0.3,0.35,1/D34*100), " #NA"),IF(AND('Area Calc for Velocity value'!$P$38=4,size&gt;=25),IF(C34&gt;0.3,0.35,1/D34*100),"#NA"))</f>
        <v>#NA</v>
      </c>
      <c r="J34" s="119">
        <f>IF(OR('Area Calc for Velocity value'!$P$38=3, 'Area Calc for Velocity value'!$P$38=1),H34,I34)</f>
        <v>0.35</v>
      </c>
      <c r="K34" s="79">
        <f t="shared" si="7"/>
        <v>0.2005632</v>
      </c>
      <c r="L34" s="77" t="e">
        <f>IF(AND(size&gt;=1,#REF!&gt;0.3),0.35,1/J34*100)</f>
        <v>#REF!</v>
      </c>
      <c r="M34" s="73" t="e">
        <f>IF(AND(size&gt;16,#REF!&gt;=1),0.35,IF(AND(size&gt;16,#REF!&gt;=0.3),(0.25+(1/J34*100)),1.75/J34*100))</f>
        <v>#REF!</v>
      </c>
      <c r="N34" s="156">
        <f>IF(size&lt;=15,"#N/A",IF(OR('Area Calc for Velocity value'!$P$38=2,'Area Calc for Velocity value'!$P$38=4),"#N/A",IF(size&gt;200," #NA", K34)))</f>
        <v>0.2005632</v>
      </c>
      <c r="O34" s="78" t="str">
        <f t="shared" si="2"/>
        <v xml:space="preserve">  #NA</v>
      </c>
      <c r="P34" s="78">
        <f>IF('Area Calc for Velocity value'!$P$38=1,IF(C34&gt;0.15,0.3,0.5/D34*100)," #NA")</f>
        <v>0.3</v>
      </c>
      <c r="Q34" s="78">
        <f t="shared" si="3"/>
        <v>0.3</v>
      </c>
      <c r="R34" s="116">
        <f>IF(size=15,O34,IF('Area Calc for Velocity value'!$P$38=3,Q34,P34))</f>
        <v>0.3</v>
      </c>
      <c r="S34" s="116">
        <f t="shared" si="4"/>
        <v>0.2005632</v>
      </c>
      <c r="T34" s="77" t="e">
        <f>IF(AND(size&gt;=1,#REF!&gt;0.3),0.35,1/X34*100)</f>
        <v>#REF!</v>
      </c>
      <c r="U34" s="73" t="e">
        <f>IF(AND(size&gt;16,#REF!&gt;=1),0.35,IF(AND(size&gt;16,#REF!&gt;=0.3),(0.25+(1/X34*100)),1.75/X34*100))</f>
        <v>#REF!</v>
      </c>
      <c r="V34" s="156">
        <f>IF(size&lt;=15,"#N/A",IF(OR('Area Calc for Velocity value'!$P$38=2,'Area Calc for Velocity value'!$P$38=4),"#N/A",IF(size&gt;200," #NA", S34)))</f>
        <v>0.2005632</v>
      </c>
      <c r="W34" s="170">
        <f>IF('Area Calc for Velocity value'!$P$38=1,IF(size&gt;=25,IF(C34&gt;0.3,0.35,2/D34*100), " #NA"))</f>
        <v>0.35</v>
      </c>
      <c r="X34" s="159">
        <f t="shared" si="8"/>
        <v>0.35</v>
      </c>
      <c r="Z34" s="96">
        <f t="shared" si="9"/>
        <v>27.5</v>
      </c>
      <c r="AA34" s="104">
        <f>IF('Accuracy Statement'!$D$9&gt;10,"ERROR",J34)</f>
        <v>0.35</v>
      </c>
      <c r="AB34" s="1">
        <f>IF('Accuracy Statement'!$D$9&gt;10,"ERROR",N34)</f>
        <v>0.2005632</v>
      </c>
      <c r="AC34" s="104">
        <f>IF('Accuracy Statement'!$D$9&gt;10,"ERROR",R34)</f>
        <v>0.3</v>
      </c>
      <c r="AD34" s="1">
        <f>IF('Accuracy Statement'!$D$9&gt;10,"ERROR",V34)</f>
        <v>0.2005632</v>
      </c>
      <c r="AE34" s="104">
        <f>IF('Accuracy Statement'!$D$9&gt;10,"ERROR",X34)</f>
        <v>0.35</v>
      </c>
      <c r="AF34" s="107">
        <f>IF('Accuracy Statement'!$D$9&gt;10,"ERROR",0.5+(1/D34*100))</f>
        <v>0.60281600000000002</v>
      </c>
      <c r="AG34" s="1">
        <f>IF('Accuracy Statement'!$D$9&gt;10,"ERROR",0.2+(2/D34*100))</f>
        <v>0.40563200000000005</v>
      </c>
      <c r="AH34" s="107">
        <f>IF('Accuracy Statement'!$D$9&gt;10,"ERROR",IF(C34&lt;2,0.25+1/D34*100,0.25+1.5/D34*100))</f>
        <v>0.35281600000000002</v>
      </c>
      <c r="AI34" s="1">
        <f>IF('Accuracy Statement'!$D$9&gt;10,"ERROR",IF($C34&lt;4,0.15+1/$D34*100,0.18))</f>
        <v>0.25281600000000004</v>
      </c>
      <c r="AJ34" s="110">
        <f>IF('Accuracy Statement'!$D$9&gt;10,"ERROR",0.3+1/D34*100)</f>
        <v>0.40281600000000001</v>
      </c>
      <c r="AK34" s="73">
        <f>IF('Accuracy Statement'!$D$9&gt;10,"ERROR",0.2+1/D34*100)</f>
        <v>0.30281600000000003</v>
      </c>
      <c r="AL34" s="110">
        <f>IF('Accuracy Statement'!$D$9&gt;10,"ERROR",0.3+(100*(0.0002*$AN$56)/(($C34/10)*$AN$56)))</f>
        <v>0.50563200000000008</v>
      </c>
      <c r="AM34" s="167">
        <f>IF('Accuracy Statement'!$D$9&gt;10,"ERROR",0.4+(100*(0.0002*$AN$56)/(($C34/10)*$AN$56)))</f>
        <v>0.60563200000000006</v>
      </c>
      <c r="AN34" s="110">
        <f>IF('Accuracy Statement'!$D$9&gt;10,"ERROR",0.2+(100*(0.0002*$AN$56)/(($C34/10)*$AN$56)))</f>
        <v>0.40563200000000005</v>
      </c>
      <c r="AO34" s="100">
        <f>IF('Accuracy Statement'!$D$9&gt;10,"ERROR",0.2+1/F34*100)</f>
        <v>285.91428571428571</v>
      </c>
      <c r="AP34" s="110">
        <f>IF('Accuracy Statement'!$D$9&gt;10,"ERROR",IF(C34&lt;0.25, 2.5/D34*100, 0.5+(1.25/D34)*100))</f>
        <v>0.62851999999999997</v>
      </c>
    </row>
    <row r="35" spans="2:42">
      <c r="B35" s="87">
        <v>25</v>
      </c>
      <c r="C35" s="2">
        <f t="shared" si="5"/>
        <v>0.88419206066264866</v>
      </c>
      <c r="D35" s="88">
        <f t="shared" si="6"/>
        <v>884.19206066264871</v>
      </c>
      <c r="E35" s="79" t="str">
        <f t="shared" si="0"/>
        <v xml:space="preserve">  #NA</v>
      </c>
      <c r="F35" s="31">
        <f>IF('Area Calc for Velocity value'!$P$38=1,IF(C35&gt;0.15,0.35,0.5/D35*100)," #NA")</f>
        <v>0.35</v>
      </c>
      <c r="G35" s="31">
        <f t="shared" si="1"/>
        <v>0.35</v>
      </c>
      <c r="H35" s="116">
        <f>IF(size=15,E35,IF('Area Calc for Velocity value'!$P$38=3,G35,F35))</f>
        <v>0.35</v>
      </c>
      <c r="I35" s="31" t="str">
        <f>IF('Area Calc for Velocity value'!$P$38=2,IF(size&gt;=50,IF(C35&gt;0.3,0.35,1/D35*100), " #NA"),IF(AND('Area Calc for Velocity value'!$P$38=4,size&gt;=25),IF(C35&gt;0.3,0.35,1/D35*100),"#NA"))</f>
        <v>#NA</v>
      </c>
      <c r="J35" s="119">
        <f>IF(OR('Area Calc for Velocity value'!$P$38=3, 'Area Calc for Velocity value'!$P$38=1),H35,I35)</f>
        <v>0.35</v>
      </c>
      <c r="K35" s="79">
        <f t="shared" si="7"/>
        <v>0.20261952</v>
      </c>
      <c r="L35" s="77" t="e">
        <f>IF(AND(size&gt;=1,#REF!&gt;0.3),0.35,1/J35*100)</f>
        <v>#REF!</v>
      </c>
      <c r="M35" s="73" t="e">
        <f>IF(AND(size&gt;16,#REF!&gt;=1),0.35,IF(AND(size&gt;16,#REF!&gt;=0.3),(0.25+(1/J35*100)),1.75/J35*100))</f>
        <v>#REF!</v>
      </c>
      <c r="N35" s="156">
        <f>IF(size&lt;=15,"#N/A",IF(OR('Area Calc for Velocity value'!$P$38=2,'Area Calc for Velocity value'!$P$38=4),"#N/A",IF(size&gt;200," #NA", K35)))</f>
        <v>0.20261952</v>
      </c>
      <c r="O35" s="78" t="str">
        <f t="shared" si="2"/>
        <v xml:space="preserve">  #NA</v>
      </c>
      <c r="P35" s="78">
        <f>IF('Area Calc for Velocity value'!$P$38=1,IF(C35&gt;0.15,0.3,0.5/D35*100)," #NA")</f>
        <v>0.3</v>
      </c>
      <c r="Q35" s="78">
        <f t="shared" si="3"/>
        <v>0.3</v>
      </c>
      <c r="R35" s="116">
        <f>IF(size=15,O35,IF('Area Calc for Velocity value'!$P$38=3,Q35,P35))</f>
        <v>0.3</v>
      </c>
      <c r="S35" s="116">
        <f t="shared" si="4"/>
        <v>0.20261952</v>
      </c>
      <c r="T35" s="77" t="e">
        <f>IF(AND(size&gt;=1,#REF!&gt;0.3),0.35,1/X35*100)</f>
        <v>#REF!</v>
      </c>
      <c r="U35" s="73" t="e">
        <f>IF(AND(size&gt;16,#REF!&gt;=1),0.35,IF(AND(size&gt;16,#REF!&gt;=0.3),(0.25+(1/X35*100)),1.75/X35*100))</f>
        <v>#REF!</v>
      </c>
      <c r="V35" s="156">
        <f>IF(size&lt;=15,"#N/A",IF(OR('Area Calc for Velocity value'!$P$38=2,'Area Calc for Velocity value'!$P$38=4),"#N/A",IF(size&gt;200," #NA", S35)))</f>
        <v>0.20261952</v>
      </c>
      <c r="W35" s="170">
        <f>IF('Area Calc for Velocity value'!$P$38=1,IF(size&gt;=25,IF(C35&gt;0.3,0.35,2/D35*100), " #NA"))</f>
        <v>0.35</v>
      </c>
      <c r="X35" s="159">
        <f t="shared" si="8"/>
        <v>0.35</v>
      </c>
      <c r="Z35" s="96">
        <f t="shared" si="9"/>
        <v>25</v>
      </c>
      <c r="AA35" s="104">
        <f>IF('Accuracy Statement'!$D$9&gt;10,"ERROR",J35)</f>
        <v>0.35</v>
      </c>
      <c r="AB35" s="1">
        <f>IF('Accuracy Statement'!$D$9&gt;10,"ERROR",N35)</f>
        <v>0.20261952</v>
      </c>
      <c r="AC35" s="104">
        <f>IF('Accuracy Statement'!$D$9&gt;10,"ERROR",R35)</f>
        <v>0.3</v>
      </c>
      <c r="AD35" s="1">
        <f>IF('Accuracy Statement'!$D$9&gt;10,"ERROR",V35)</f>
        <v>0.20261952</v>
      </c>
      <c r="AE35" s="104">
        <f>IF('Accuracy Statement'!$D$9&gt;10,"ERROR",X35)</f>
        <v>0.35</v>
      </c>
      <c r="AF35" s="107">
        <f>IF('Accuracy Statement'!$D$9&gt;10,"ERROR",0.5+(1/D35*100))</f>
        <v>0.61309760000000002</v>
      </c>
      <c r="AG35" s="1">
        <f>IF('Accuracy Statement'!$D$9&gt;10,"ERROR",0.2+(2/D35*100))</f>
        <v>0.42619520000000011</v>
      </c>
      <c r="AH35" s="107">
        <f>IF('Accuracy Statement'!$D$9&gt;10,"ERROR",IF(C35&lt;2,0.25+1/D35*100,0.25+1.5/D35*100))</f>
        <v>0.36309760000000002</v>
      </c>
      <c r="AI35" s="1">
        <f>IF('Accuracy Statement'!$D$9&gt;10,"ERROR",IF($C35&lt;4,0.15+1/$D35*100,0.18))</f>
        <v>0.26309760000000004</v>
      </c>
      <c r="AJ35" s="110">
        <f>IF('Accuracy Statement'!$D$9&gt;10,"ERROR",0.3+1/D35*100)</f>
        <v>0.41309760000000001</v>
      </c>
      <c r="AK35" s="73">
        <f>IF('Accuracy Statement'!$D$9&gt;10,"ERROR",0.2+1/D35*100)</f>
        <v>0.31309760000000003</v>
      </c>
      <c r="AL35" s="110">
        <f>IF('Accuracy Statement'!$D$9&gt;10,"ERROR",0.3+(100*(0.0002*$AN$56)/(($C35/10)*$AN$56)))</f>
        <v>0.52619520000000009</v>
      </c>
      <c r="AM35" s="167">
        <f>IF('Accuracy Statement'!$D$9&gt;10,"ERROR",0.4+(100*(0.0002*$AN$56)/(($C35/10)*$AN$56)))</f>
        <v>0.62619520000000006</v>
      </c>
      <c r="AN35" s="110">
        <f>IF('Accuracy Statement'!$D$9&gt;10,"ERROR",0.2+(100*(0.0002*$AN$56)/(($C35/10)*$AN$56)))</f>
        <v>0.42619520000000011</v>
      </c>
      <c r="AO35" s="100">
        <f>IF('Accuracy Statement'!$D$9&gt;10,"ERROR",0.2+1/F35*100)</f>
        <v>285.91428571428571</v>
      </c>
      <c r="AP35" s="110">
        <f>IF('Accuracy Statement'!$D$9&gt;10,"ERROR",IF(C35&lt;0.25, 2.5/D35*100, 0.5+(1.25/D35)*100))</f>
        <v>0.64137200000000005</v>
      </c>
    </row>
    <row r="36" spans="2:42">
      <c r="B36" s="87">
        <v>22.5</v>
      </c>
      <c r="C36" s="2">
        <f t="shared" si="5"/>
        <v>0.79577285459638381</v>
      </c>
      <c r="D36" s="88">
        <f t="shared" si="6"/>
        <v>795.77285459638381</v>
      </c>
      <c r="E36" s="79" t="str">
        <f t="shared" si="0"/>
        <v xml:space="preserve">  #NA</v>
      </c>
      <c r="F36" s="31">
        <f>IF('Area Calc for Velocity value'!$P$38=1,IF(C36&gt;0.15,0.35,0.5/D36*100)," #NA")</f>
        <v>0.35</v>
      </c>
      <c r="G36" s="31">
        <f t="shared" si="1"/>
        <v>0.35</v>
      </c>
      <c r="H36" s="116">
        <f>IF(size=15,E36,IF('Area Calc for Velocity value'!$P$38=3,G36,F36))</f>
        <v>0.35</v>
      </c>
      <c r="I36" s="31" t="str">
        <f>IF('Area Calc for Velocity value'!$P$38=2,IF(size&gt;=50,IF(C36&gt;0.3,0.35,1/D36*100), " #NA"),IF(AND('Area Calc for Velocity value'!$P$38=4,size&gt;=25),IF(C36&gt;0.3,0.35,1/D36*100),"#NA"))</f>
        <v>#NA</v>
      </c>
      <c r="J36" s="119">
        <f>IF(OR('Area Calc for Velocity value'!$P$38=3, 'Area Calc for Velocity value'!$P$38=1),H36,I36)</f>
        <v>0.35</v>
      </c>
      <c r="K36" s="79">
        <f t="shared" si="7"/>
        <v>0.2051328</v>
      </c>
      <c r="L36" s="77" t="e">
        <f>IF(AND(size&gt;=1,#REF!&gt;0.3),0.35,1/J36*100)</f>
        <v>#REF!</v>
      </c>
      <c r="M36" s="73" t="e">
        <f>IF(AND(size&gt;16,#REF!&gt;=1),0.35,IF(AND(size&gt;16,#REF!&gt;=0.3),(0.25+(1/J36*100)),1.75/J36*100))</f>
        <v>#REF!</v>
      </c>
      <c r="N36" s="156">
        <f>IF(size&lt;=15,"#N/A",IF(OR('Area Calc for Velocity value'!$P$38=2,'Area Calc for Velocity value'!$P$38=4),"#N/A",IF(size&gt;200," #NA", K36)))</f>
        <v>0.2051328</v>
      </c>
      <c r="O36" s="78" t="str">
        <f t="shared" si="2"/>
        <v xml:space="preserve">  #NA</v>
      </c>
      <c r="P36" s="78">
        <f>IF('Area Calc for Velocity value'!$P$38=1,IF(C36&gt;0.15,0.3,0.5/D36*100)," #NA")</f>
        <v>0.3</v>
      </c>
      <c r="Q36" s="78">
        <f t="shared" si="3"/>
        <v>0.3</v>
      </c>
      <c r="R36" s="116">
        <f>IF(size=15,O36,IF('Area Calc for Velocity value'!$P$38=3,Q36,P36))</f>
        <v>0.3</v>
      </c>
      <c r="S36" s="116">
        <f t="shared" si="4"/>
        <v>0.2051328</v>
      </c>
      <c r="T36" s="77" t="e">
        <f>IF(AND(size&gt;=1,#REF!&gt;0.3),0.35,1/X36*100)</f>
        <v>#REF!</v>
      </c>
      <c r="U36" s="73" t="e">
        <f>IF(AND(size&gt;16,#REF!&gt;=1),0.35,IF(AND(size&gt;16,#REF!&gt;=0.3),(0.25+(1/X36*100)),1.75/X36*100))</f>
        <v>#REF!</v>
      </c>
      <c r="V36" s="156">
        <f>IF(size&lt;=15,"#N/A",IF(OR('Area Calc for Velocity value'!$P$38=2,'Area Calc for Velocity value'!$P$38=4),"#N/A",IF(size&gt;200," #NA", S36)))</f>
        <v>0.2051328</v>
      </c>
      <c r="W36" s="170">
        <f>IF('Area Calc for Velocity value'!$P$38=1,IF(size&gt;=25,IF(C36&gt;0.3,0.35,2/D36*100), " #NA"))</f>
        <v>0.35</v>
      </c>
      <c r="X36" s="159">
        <f t="shared" si="8"/>
        <v>0.35</v>
      </c>
      <c r="Z36" s="96">
        <f t="shared" si="9"/>
        <v>22.5</v>
      </c>
      <c r="AA36" s="104">
        <f>IF('Accuracy Statement'!$D$9&gt;10,"ERROR",J36)</f>
        <v>0.35</v>
      </c>
      <c r="AB36" s="1">
        <f>IF('Accuracy Statement'!$D$9&gt;10,"ERROR",N36)</f>
        <v>0.2051328</v>
      </c>
      <c r="AC36" s="104">
        <f>IF('Accuracy Statement'!$D$9&gt;10,"ERROR",R36)</f>
        <v>0.3</v>
      </c>
      <c r="AD36" s="1">
        <f>IF('Accuracy Statement'!$D$9&gt;10,"ERROR",V36)</f>
        <v>0.2051328</v>
      </c>
      <c r="AE36" s="104">
        <f>IF('Accuracy Statement'!$D$9&gt;10,"ERROR",X36)</f>
        <v>0.35</v>
      </c>
      <c r="AF36" s="107">
        <f>IF('Accuracy Statement'!$D$9&gt;10,"ERROR",0.5+(1/D36*100))</f>
        <v>0.625664</v>
      </c>
      <c r="AG36" s="1">
        <f>IF('Accuracy Statement'!$D$9&gt;10,"ERROR",0.2+(2/D36*100))</f>
        <v>0.45132800000000006</v>
      </c>
      <c r="AH36" s="107">
        <f>IF('Accuracy Statement'!$D$9&gt;10,"ERROR",IF(C36&lt;2,0.25+1/D36*100,0.25+1.5/D36*100))</f>
        <v>0.375664</v>
      </c>
      <c r="AI36" s="1">
        <f>IF('Accuracy Statement'!$D$9&gt;10,"ERROR",IF($C36&lt;4,0.15+1/$D36*100,0.18))</f>
        <v>0.27566400000000002</v>
      </c>
      <c r="AJ36" s="110">
        <f>IF('Accuracy Statement'!$D$9&gt;10,"ERROR",0.3+1/D36*100)</f>
        <v>0.42566400000000004</v>
      </c>
      <c r="AK36" s="73">
        <f>IF('Accuracy Statement'!$D$9&gt;10,"ERROR",0.2+1/D36*100)</f>
        <v>0.32566400000000006</v>
      </c>
      <c r="AL36" s="110">
        <f>IF('Accuracy Statement'!$D$9&gt;10,"ERROR",0.3+(100*(0.0002*$AN$56)/(($C36/10)*$AN$56)))</f>
        <v>0.55132800000000004</v>
      </c>
      <c r="AM36" s="167">
        <f>IF('Accuracy Statement'!$D$9&gt;10,"ERROR",0.4+(100*(0.0002*$AN$56)/(($C36/10)*$AN$56)))</f>
        <v>0.65132800000000013</v>
      </c>
      <c r="AN36" s="110">
        <f>IF('Accuracy Statement'!$D$9&gt;10,"ERROR",0.2+(100*(0.0002*$AN$56)/(($C36/10)*$AN$56)))</f>
        <v>0.45132800000000006</v>
      </c>
      <c r="AO36" s="100">
        <f>IF('Accuracy Statement'!$D$9&gt;10,"ERROR",0.2+1/F36*100)</f>
        <v>285.91428571428571</v>
      </c>
      <c r="AP36" s="110">
        <f>IF('Accuracy Statement'!$D$9&gt;10,"ERROR",IF(C36&lt;0.25, 2.5/D36*100, 0.5+(1.25/D36)*100))</f>
        <v>0.65708000000000011</v>
      </c>
    </row>
    <row r="37" spans="2:42">
      <c r="B37" s="87">
        <v>20</v>
      </c>
      <c r="C37" s="2">
        <f t="shared" si="5"/>
        <v>0.70735364853011895</v>
      </c>
      <c r="D37" s="88">
        <f t="shared" si="6"/>
        <v>707.3536485301189</v>
      </c>
      <c r="E37" s="79" t="str">
        <f t="shared" si="0"/>
        <v xml:space="preserve">  #NA</v>
      </c>
      <c r="F37" s="31">
        <f>IF('Area Calc for Velocity value'!$P$38=1,IF(C37&gt;0.15,0.35,0.5/D37*100)," #NA")</f>
        <v>0.35</v>
      </c>
      <c r="G37" s="31">
        <f t="shared" si="1"/>
        <v>0.35</v>
      </c>
      <c r="H37" s="116">
        <f>IF(size=15,E37,IF('Area Calc for Velocity value'!$P$38=3,G37,F37))</f>
        <v>0.35</v>
      </c>
      <c r="I37" s="31" t="str">
        <f>IF('Area Calc for Velocity value'!$P$38=2,IF(size&gt;=50,IF(C37&gt;0.3,0.35,1/D37*100), " #NA"),IF(AND('Area Calc for Velocity value'!$P$38=4,size&gt;=25),IF(C37&gt;0.3,0.35,1/D37*100),"#NA"))</f>
        <v>#NA</v>
      </c>
      <c r="J37" s="119">
        <f>IF(OR('Area Calc for Velocity value'!$P$38=3, 'Area Calc for Velocity value'!$P$38=1),H37,I37)</f>
        <v>0.35</v>
      </c>
      <c r="K37" s="79">
        <f t="shared" si="7"/>
        <v>0.2082744</v>
      </c>
      <c r="L37" s="77" t="e">
        <f>IF(AND(size&gt;=1,#REF!&gt;0.3),0.35,1/J37*100)</f>
        <v>#REF!</v>
      </c>
      <c r="M37" s="73" t="e">
        <f>IF(AND(size&gt;16,#REF!&gt;=1),0.35,IF(AND(size&gt;16,#REF!&gt;=0.3),(0.25+(1/J37*100)),1.75/J37*100))</f>
        <v>#REF!</v>
      </c>
      <c r="N37" s="156">
        <f>IF(size&lt;=15,"#N/A",IF(OR('Area Calc for Velocity value'!$P$38=2,'Area Calc for Velocity value'!$P$38=4),"#N/A",IF(size&gt;200," #NA", K37)))</f>
        <v>0.2082744</v>
      </c>
      <c r="O37" s="78" t="str">
        <f t="shared" si="2"/>
        <v xml:space="preserve">  #NA</v>
      </c>
      <c r="P37" s="78">
        <f>IF('Area Calc for Velocity value'!$P$38=1,IF(C37&gt;0.15,0.3,0.5/D37*100)," #NA")</f>
        <v>0.3</v>
      </c>
      <c r="Q37" s="78">
        <f t="shared" si="3"/>
        <v>0.3</v>
      </c>
      <c r="R37" s="116">
        <f>IF(size=15,O37,IF('Area Calc for Velocity value'!$P$38=3,Q37,P37))</f>
        <v>0.3</v>
      </c>
      <c r="S37" s="116">
        <f t="shared" si="4"/>
        <v>0.2082744</v>
      </c>
      <c r="T37" s="77" t="e">
        <f>IF(AND(size&gt;=1,#REF!&gt;0.3),0.35,1/X37*100)</f>
        <v>#REF!</v>
      </c>
      <c r="U37" s="73" t="e">
        <f>IF(AND(size&gt;16,#REF!&gt;=1),0.35,IF(AND(size&gt;16,#REF!&gt;=0.3),(0.25+(1/X37*100)),1.75/X37*100))</f>
        <v>#REF!</v>
      </c>
      <c r="V37" s="156">
        <f>IF(size&lt;=15,"#N/A",IF(OR('Area Calc for Velocity value'!$P$38=2,'Area Calc for Velocity value'!$P$38=4),"#N/A",IF(size&gt;200," #NA", S37)))</f>
        <v>0.2082744</v>
      </c>
      <c r="W37" s="170">
        <f>IF('Area Calc for Velocity value'!$P$38=1,IF(size&gt;=25,IF(C37&gt;0.3,0.35,2/D37*100), " #NA"))</f>
        <v>0.35</v>
      </c>
      <c r="X37" s="159">
        <f t="shared" si="8"/>
        <v>0.35</v>
      </c>
      <c r="Z37" s="96">
        <f t="shared" si="9"/>
        <v>20</v>
      </c>
      <c r="AA37" s="104">
        <f>IF('Accuracy Statement'!$D$9&gt;10,"ERROR",J37)</f>
        <v>0.35</v>
      </c>
      <c r="AB37" s="1">
        <f>IF('Accuracy Statement'!$D$9&gt;10,"ERROR",N37)</f>
        <v>0.2082744</v>
      </c>
      <c r="AC37" s="104">
        <f>IF('Accuracy Statement'!$D$9&gt;10,"ERROR",R37)</f>
        <v>0.3</v>
      </c>
      <c r="AD37" s="1">
        <f>IF('Accuracy Statement'!$D$9&gt;10,"ERROR",V37)</f>
        <v>0.2082744</v>
      </c>
      <c r="AE37" s="104">
        <f>IF('Accuracy Statement'!$D$9&gt;10,"ERROR",X37)</f>
        <v>0.35</v>
      </c>
      <c r="AF37" s="107">
        <f>IF('Accuracy Statement'!$D$9&gt;10,"ERROR",0.5+(1/D37*100))</f>
        <v>0.64137200000000005</v>
      </c>
      <c r="AG37" s="1">
        <f>IF('Accuracy Statement'!$D$9&gt;10,"ERROR",0.2+(2/D37*100))</f>
        <v>0.48274400000000012</v>
      </c>
      <c r="AH37" s="107">
        <f>IF('Accuracy Statement'!$D$9&gt;10,"ERROR",IF(C37&lt;2,0.25+1/D37*100,0.25+1.5/D37*100))</f>
        <v>0.39137200000000005</v>
      </c>
      <c r="AI37" s="1">
        <f>IF('Accuracy Statement'!$D$9&gt;10,"ERROR",IF($C37&lt;4,0.15+1/$D37*100,0.18))</f>
        <v>0.29137200000000008</v>
      </c>
      <c r="AJ37" s="110">
        <f>IF('Accuracy Statement'!$D$9&gt;10,"ERROR",0.3+1/D37*100)</f>
        <v>0.44137200000000004</v>
      </c>
      <c r="AK37" s="73">
        <f>IF('Accuracy Statement'!$D$9&gt;10,"ERROR",0.2+1/D37*100)</f>
        <v>0.34137200000000006</v>
      </c>
      <c r="AL37" s="110">
        <f>IF('Accuracy Statement'!$D$9&gt;10,"ERROR",0.3+(100*(0.0002*$AN$56)/(($C37/10)*$AN$56)))</f>
        <v>0.58274400000000004</v>
      </c>
      <c r="AM37" s="167">
        <f>IF('Accuracy Statement'!$D$9&gt;10,"ERROR",0.4+(100*(0.0002*$AN$56)/(($C37/10)*$AN$56)))</f>
        <v>0.68274400000000002</v>
      </c>
      <c r="AN37" s="110">
        <f>IF('Accuracy Statement'!$D$9&gt;10,"ERROR",0.2+(100*(0.0002*$AN$56)/(($C37/10)*$AN$56)))</f>
        <v>0.48274400000000006</v>
      </c>
      <c r="AO37" s="100">
        <f>IF('Accuracy Statement'!$D$9&gt;10,"ERROR",0.2+1/F37*100)</f>
        <v>285.91428571428571</v>
      </c>
      <c r="AP37" s="110">
        <f>IF('Accuracy Statement'!$D$9&gt;10,"ERROR",IF(C37&lt;0.25, 2.5/D37*100, 0.5+(1.25/D37)*100))</f>
        <v>0.67671500000000007</v>
      </c>
    </row>
    <row r="38" spans="2:42">
      <c r="B38" s="87">
        <v>17.5</v>
      </c>
      <c r="C38" s="2">
        <f t="shared" si="5"/>
        <v>0.61893444246385398</v>
      </c>
      <c r="D38" s="88">
        <f t="shared" si="6"/>
        <v>618.934442463854</v>
      </c>
      <c r="E38" s="79" t="str">
        <f t="shared" si="0"/>
        <v xml:space="preserve">  #NA</v>
      </c>
      <c r="F38" s="31">
        <f>IF('Area Calc for Velocity value'!$P$38=1,IF(C38&gt;0.15,0.35,0.5/D38*100)," #NA")</f>
        <v>0.35</v>
      </c>
      <c r="G38" s="31">
        <f t="shared" si="1"/>
        <v>0.35</v>
      </c>
      <c r="H38" s="116">
        <f>IF(size=15,E38,IF('Area Calc for Velocity value'!$P$38=3,G38,F38))</f>
        <v>0.35</v>
      </c>
      <c r="I38" s="31" t="str">
        <f>IF('Area Calc for Velocity value'!$P$38=2,IF(size&gt;=50,IF(C38&gt;0.3,0.35,1/D38*100), " #NA"),IF(AND('Area Calc for Velocity value'!$P$38=4,size&gt;=25),IF(C38&gt;0.3,0.35,1/D38*100),"#NA"))</f>
        <v>#NA</v>
      </c>
      <c r="J38" s="119">
        <f>IF(OR('Area Calc for Velocity value'!$P$38=3, 'Area Calc for Velocity value'!$P$38=1),H38,I38)</f>
        <v>0.35</v>
      </c>
      <c r="K38" s="79">
        <f t="shared" si="7"/>
        <v>0.21231359999999999</v>
      </c>
      <c r="L38" s="77" t="e">
        <f>IF(AND(size&gt;=1,#REF!&gt;0.3),0.35,1/J38*100)</f>
        <v>#REF!</v>
      </c>
      <c r="M38" s="73" t="e">
        <f>IF(AND(size&gt;16,#REF!&gt;=1),0.35,IF(AND(size&gt;16,#REF!&gt;=0.3),(0.25+(1/J38*100)),1.75/J38*100))</f>
        <v>#REF!</v>
      </c>
      <c r="N38" s="156">
        <f>IF(size&lt;=15,"#N/A",IF(OR('Area Calc for Velocity value'!$P$38=2,'Area Calc for Velocity value'!$P$38=4),"#N/A",IF(size&gt;200," #NA", K38)))</f>
        <v>0.21231359999999999</v>
      </c>
      <c r="O38" s="78" t="str">
        <f t="shared" si="2"/>
        <v xml:space="preserve">  #NA</v>
      </c>
      <c r="P38" s="78">
        <f>IF('Area Calc for Velocity value'!$P$38=1,IF(C38&gt;0.15,0.3,0.5/D38*100)," #NA")</f>
        <v>0.3</v>
      </c>
      <c r="Q38" s="78">
        <f t="shared" si="3"/>
        <v>0.3</v>
      </c>
      <c r="R38" s="116">
        <f>IF(size=15,O38,IF('Area Calc for Velocity value'!$P$38=3,Q38,P38))</f>
        <v>0.3</v>
      </c>
      <c r="S38" s="116">
        <f t="shared" si="4"/>
        <v>0.21231359999999999</v>
      </c>
      <c r="T38" s="77" t="e">
        <f>IF(AND(size&gt;=1,#REF!&gt;0.3),0.35,1/X38*100)</f>
        <v>#REF!</v>
      </c>
      <c r="U38" s="73" t="e">
        <f>IF(AND(size&gt;16,#REF!&gt;=1),0.35,IF(AND(size&gt;16,#REF!&gt;=0.3),(0.25+(1/X38*100)),1.75/X38*100))</f>
        <v>#REF!</v>
      </c>
      <c r="V38" s="156">
        <f>IF(size&lt;=15,"#N/A",IF(OR('Area Calc for Velocity value'!$P$38=2,'Area Calc for Velocity value'!$P$38=4),"#N/A",IF(size&gt;200," #NA", S38)))</f>
        <v>0.21231359999999999</v>
      </c>
      <c r="W38" s="170">
        <f>IF('Area Calc for Velocity value'!$P$38=1,IF(size&gt;=25,IF(C38&gt;0.3,0.35,2/D38*100), " #NA"))</f>
        <v>0.35</v>
      </c>
      <c r="X38" s="159">
        <f t="shared" si="8"/>
        <v>0.35</v>
      </c>
      <c r="Z38" s="96">
        <f t="shared" si="9"/>
        <v>17.5</v>
      </c>
      <c r="AA38" s="104">
        <f>IF('Accuracy Statement'!$D$9&gt;10,"ERROR",J38)</f>
        <v>0.35</v>
      </c>
      <c r="AB38" s="1">
        <f>IF('Accuracy Statement'!$D$9&gt;10,"ERROR",N38)</f>
        <v>0.21231359999999999</v>
      </c>
      <c r="AC38" s="104">
        <f>IF('Accuracy Statement'!$D$9&gt;10,"ERROR",R38)</f>
        <v>0.3</v>
      </c>
      <c r="AD38" s="1">
        <f>IF('Accuracy Statement'!$D$9&gt;10,"ERROR",V38)</f>
        <v>0.21231359999999999</v>
      </c>
      <c r="AE38" s="104">
        <f>IF('Accuracy Statement'!$D$9&gt;10,"ERROR",X38)</f>
        <v>0.35</v>
      </c>
      <c r="AF38" s="107">
        <f>IF('Accuracy Statement'!$D$9&gt;10,"ERROR",0.5+(1/D38*100))</f>
        <v>0.66156800000000004</v>
      </c>
      <c r="AG38" s="1">
        <f>IF('Accuracy Statement'!$D$9&gt;10,"ERROR",0.2+(2/D38*100))</f>
        <v>0.52313600000000016</v>
      </c>
      <c r="AH38" s="107">
        <f>IF('Accuracy Statement'!$D$9&gt;10,"ERROR",IF(C38&lt;2,0.25+1/D38*100,0.25+1.5/D38*100))</f>
        <v>0.41156800000000004</v>
      </c>
      <c r="AI38" s="1">
        <f>IF('Accuracy Statement'!$D$9&gt;10,"ERROR",IF($C38&lt;4,0.15+1/$D38*100,0.18))</f>
        <v>0.31156800000000007</v>
      </c>
      <c r="AJ38" s="110">
        <f>IF('Accuracy Statement'!$D$9&gt;10,"ERROR",0.3+1/D38*100)</f>
        <v>0.46156800000000009</v>
      </c>
      <c r="AK38" s="73">
        <f>IF('Accuracy Statement'!$D$9&gt;10,"ERROR",0.2+1/D38*100)</f>
        <v>0.36156800000000011</v>
      </c>
      <c r="AL38" s="110">
        <f>IF('Accuracy Statement'!$D$9&gt;10,"ERROR",0.3+(100*(0.0002*$AN$56)/(($C38/10)*$AN$56)))</f>
        <v>0.62313600000000013</v>
      </c>
      <c r="AM38" s="167">
        <f>IF('Accuracy Statement'!$D$9&gt;10,"ERROR",0.4+(100*(0.0002*$AN$56)/(($C38/10)*$AN$56)))</f>
        <v>0.72313600000000022</v>
      </c>
      <c r="AN38" s="110">
        <f>IF('Accuracy Statement'!$D$9&gt;10,"ERROR",0.2+(100*(0.0002*$AN$56)/(($C38/10)*$AN$56)))</f>
        <v>0.52313600000000016</v>
      </c>
      <c r="AO38" s="100">
        <f>IF('Accuracy Statement'!$D$9&gt;10,"ERROR",0.2+1/F38*100)</f>
        <v>285.91428571428571</v>
      </c>
      <c r="AP38" s="110">
        <f>IF('Accuracy Statement'!$D$9&gt;10,"ERROR",IF(C38&lt;0.25, 2.5/D38*100, 0.5+(1.25/D38)*100))</f>
        <v>0.70196000000000014</v>
      </c>
    </row>
    <row r="39" spans="2:42">
      <c r="B39" s="87">
        <v>15</v>
      </c>
      <c r="C39" s="2">
        <f t="shared" si="5"/>
        <v>0.53051523639758913</v>
      </c>
      <c r="D39" s="88">
        <f t="shared" si="6"/>
        <v>530.51523639758909</v>
      </c>
      <c r="E39" s="79" t="str">
        <f t="shared" si="0"/>
        <v xml:space="preserve">  #NA</v>
      </c>
      <c r="F39" s="31">
        <f>IF('Area Calc for Velocity value'!$P$38=1,IF(C39&gt;0.15,0.35,0.5/D39*100)," #NA")</f>
        <v>0.35</v>
      </c>
      <c r="G39" s="31">
        <f t="shared" si="1"/>
        <v>0.35</v>
      </c>
      <c r="H39" s="116">
        <f>IF(size=15,E39,IF('Area Calc for Velocity value'!$P$38=3,G39,F39))</f>
        <v>0.35</v>
      </c>
      <c r="I39" s="31" t="str">
        <f>IF('Area Calc for Velocity value'!$P$38=2,IF(size&gt;=50,IF(C39&gt;0.3,0.35,1/D39*100), " #NA"),IF(AND('Area Calc for Velocity value'!$P$38=4,size&gt;=25),IF(C39&gt;0.3,0.35,1/D39*100),"#NA"))</f>
        <v>#NA</v>
      </c>
      <c r="J39" s="119">
        <f>IF(OR('Area Calc for Velocity value'!$P$38=3, 'Area Calc for Velocity value'!$P$38=1),H39,I39)</f>
        <v>0.35</v>
      </c>
      <c r="K39" s="79">
        <f t="shared" si="7"/>
        <v>0.21769920000000001</v>
      </c>
      <c r="L39" s="77" t="e">
        <f>IF(AND(size&gt;=1,#REF!&gt;0.3),0.35,1/J39*100)</f>
        <v>#REF!</v>
      </c>
      <c r="M39" s="73" t="e">
        <f>IF(AND(size&gt;16,#REF!&gt;=1),0.35,IF(AND(size&gt;16,#REF!&gt;=0.3),(0.25+(1/J39*100)),1.75/J39*100))</f>
        <v>#REF!</v>
      </c>
      <c r="N39" s="156">
        <f>IF(size&lt;=15,"#N/A",IF(OR('Area Calc for Velocity value'!$P$38=2,'Area Calc for Velocity value'!$P$38=4),"#N/A",IF(size&gt;200," #NA", K39)))</f>
        <v>0.21769920000000001</v>
      </c>
      <c r="O39" s="78" t="str">
        <f t="shared" si="2"/>
        <v xml:space="preserve">  #NA</v>
      </c>
      <c r="P39" s="78">
        <f>IF('Area Calc for Velocity value'!$P$38=1,IF(C39&gt;0.15,0.3,0.5/D39*100)," #NA")</f>
        <v>0.3</v>
      </c>
      <c r="Q39" s="78">
        <f t="shared" si="3"/>
        <v>0.3</v>
      </c>
      <c r="R39" s="116">
        <f>IF(size=15,O39,IF('Area Calc for Velocity value'!$P$38=3,Q39,P39))</f>
        <v>0.3</v>
      </c>
      <c r="S39" s="116">
        <f t="shared" si="4"/>
        <v>0.21769920000000001</v>
      </c>
      <c r="T39" s="77" t="e">
        <f>IF(AND(size&gt;=1,#REF!&gt;0.3),0.35,1/X39*100)</f>
        <v>#REF!</v>
      </c>
      <c r="U39" s="73" t="e">
        <f>IF(AND(size&gt;16,#REF!&gt;=1),0.35,IF(AND(size&gt;16,#REF!&gt;=0.3),(0.25+(1/X39*100)),1.75/X39*100))</f>
        <v>#REF!</v>
      </c>
      <c r="V39" s="156">
        <f>IF(size&lt;=15,"#N/A",IF(OR('Area Calc for Velocity value'!$P$38=2,'Area Calc for Velocity value'!$P$38=4),"#N/A",IF(size&gt;200," #NA", S39)))</f>
        <v>0.21769920000000001</v>
      </c>
      <c r="W39" s="170">
        <f>IF('Area Calc for Velocity value'!$P$38=1,IF(size&gt;=25,IF(C39&gt;0.3,0.35,2/D39*100), " #NA"))</f>
        <v>0.35</v>
      </c>
      <c r="X39" s="159">
        <f t="shared" si="8"/>
        <v>0.35</v>
      </c>
      <c r="Z39" s="96">
        <f t="shared" si="9"/>
        <v>15</v>
      </c>
      <c r="AA39" s="104">
        <f>IF('Accuracy Statement'!$D$9&gt;10,"ERROR",J39)</f>
        <v>0.35</v>
      </c>
      <c r="AB39" s="1">
        <f>IF('Accuracy Statement'!$D$9&gt;10,"ERROR",N39)</f>
        <v>0.21769920000000001</v>
      </c>
      <c r="AC39" s="104">
        <f>IF('Accuracy Statement'!$D$9&gt;10,"ERROR",R39)</f>
        <v>0.3</v>
      </c>
      <c r="AD39" s="1">
        <f>IF('Accuracy Statement'!$D$9&gt;10,"ERROR",V39)</f>
        <v>0.21769920000000001</v>
      </c>
      <c r="AE39" s="104">
        <f>IF('Accuracy Statement'!$D$9&gt;10,"ERROR",X39)</f>
        <v>0.35</v>
      </c>
      <c r="AF39" s="107">
        <f>IF('Accuracy Statement'!$D$9&gt;10,"ERROR",0.5+(1/D39*100))</f>
        <v>0.68849600000000011</v>
      </c>
      <c r="AG39" s="1">
        <f>IF('Accuracy Statement'!$D$9&gt;10,"ERROR",0.2+(2/D39*100))</f>
        <v>0.57699200000000017</v>
      </c>
      <c r="AH39" s="107">
        <f>IF('Accuracy Statement'!$D$9&gt;10,"ERROR",IF(C39&lt;2,0.25+1/D39*100,0.25+1.5/D39*100))</f>
        <v>0.43849600000000011</v>
      </c>
      <c r="AI39" s="1">
        <f>IF('Accuracy Statement'!$D$9&gt;10,"ERROR",IF($C39&lt;4,0.15+1/$D39*100,0.18))</f>
        <v>0.33849600000000007</v>
      </c>
      <c r="AJ39" s="110">
        <f>IF('Accuracy Statement'!$D$9&gt;10,"ERROR",0.3+1/D39*100)</f>
        <v>0.48849600000000004</v>
      </c>
      <c r="AK39" s="73">
        <f>IF('Accuracy Statement'!$D$9&gt;10,"ERROR",0.2+1/D39*100)</f>
        <v>0.38849600000000006</v>
      </c>
      <c r="AL39" s="110">
        <f>IF('Accuracy Statement'!$D$9&gt;10,"ERROR",0.3+(100*(0.0002*$AN$56)/(($C39/10)*$AN$56)))</f>
        <v>0.67699200000000015</v>
      </c>
      <c r="AM39" s="167">
        <f>IF('Accuracy Statement'!$D$9&gt;10,"ERROR",0.4+(100*(0.0002*$AN$56)/(($C39/10)*$AN$56)))</f>
        <v>0.77699200000000013</v>
      </c>
      <c r="AN39" s="110">
        <f>IF('Accuracy Statement'!$D$9&gt;10,"ERROR",0.2+(100*(0.0002*$AN$56)/(($C39/10)*$AN$56)))</f>
        <v>0.57699200000000017</v>
      </c>
      <c r="AO39" s="100">
        <f>IF('Accuracy Statement'!$D$9&gt;10,"ERROR",0.2+1/F39*100)</f>
        <v>285.91428571428571</v>
      </c>
      <c r="AP39" s="110">
        <f>IF('Accuracy Statement'!$D$9&gt;10,"ERROR",IF(C39&lt;0.25, 2.5/D39*100, 0.5+(1.25/D39)*100))</f>
        <v>0.73562000000000016</v>
      </c>
    </row>
    <row r="40" spans="2:42">
      <c r="B40" s="87">
        <v>12.5</v>
      </c>
      <c r="C40" s="2">
        <f t="shared" si="5"/>
        <v>0.44209603033132433</v>
      </c>
      <c r="D40" s="88">
        <f t="shared" si="6"/>
        <v>442.09603033132436</v>
      </c>
      <c r="E40" s="79" t="str">
        <f t="shared" si="0"/>
        <v xml:space="preserve">  #NA</v>
      </c>
      <c r="F40" s="31">
        <f>IF('Area Calc for Velocity value'!$P$38=1,IF(C40&gt;0.15,0.35,0.5/D40*100)," #NA")</f>
        <v>0.35</v>
      </c>
      <c r="G40" s="31">
        <f t="shared" si="1"/>
        <v>0.35</v>
      </c>
      <c r="H40" s="116">
        <f>IF(size=15,E40,IF('Area Calc for Velocity value'!$P$38=3,G40,F40))</f>
        <v>0.35</v>
      </c>
      <c r="I40" s="31" t="str">
        <f>IF('Area Calc for Velocity value'!$P$38=2,IF(size&gt;=50,IF(C40&gt;0.3,0.35,1/D40*100), " #NA"),IF(AND('Area Calc for Velocity value'!$P$38=4,size&gt;=25),IF(C40&gt;0.3,0.35,1/D40*100),"#NA"))</f>
        <v>#NA</v>
      </c>
      <c r="J40" s="119">
        <f>IF(OR('Area Calc for Velocity value'!$P$38=3, 'Area Calc for Velocity value'!$P$38=1),H40,I40)</f>
        <v>0.35</v>
      </c>
      <c r="K40" s="79">
        <f t="shared" si="7"/>
        <v>0.22523904</v>
      </c>
      <c r="L40" s="77" t="e">
        <f>IF(AND(size&gt;=1,#REF!&gt;0.3),0.35,1/J40*100)</f>
        <v>#REF!</v>
      </c>
      <c r="M40" s="73" t="e">
        <f>IF(AND(size&gt;16,#REF!&gt;=1),0.35,IF(AND(size&gt;16,#REF!&gt;=0.3),(0.25+(1/J40*100)),1.75/J40*100))</f>
        <v>#REF!</v>
      </c>
      <c r="N40" s="156">
        <f>IF(size&lt;=15,"#N/A",IF(OR('Area Calc for Velocity value'!$P$38=2,'Area Calc for Velocity value'!$P$38=4),"#N/A",IF(size&gt;200," #NA", K40)))</f>
        <v>0.22523904</v>
      </c>
      <c r="O40" s="78" t="str">
        <f t="shared" si="2"/>
        <v xml:space="preserve">  #NA</v>
      </c>
      <c r="P40" s="78">
        <f>IF('Area Calc for Velocity value'!$P$38=1,IF(C40&gt;0.15,0.3,0.5/D40*100)," #NA")</f>
        <v>0.3</v>
      </c>
      <c r="Q40" s="78">
        <f t="shared" si="3"/>
        <v>0.3</v>
      </c>
      <c r="R40" s="116">
        <f>IF(size=15,O40,IF('Area Calc for Velocity value'!$P$38=3,Q40,P40))</f>
        <v>0.3</v>
      </c>
      <c r="S40" s="116">
        <f t="shared" si="4"/>
        <v>0.22523904</v>
      </c>
      <c r="T40" s="77" t="e">
        <f>IF(AND(size&gt;=1,#REF!&gt;0.3),0.35,1/X40*100)</f>
        <v>#REF!</v>
      </c>
      <c r="U40" s="73" t="e">
        <f>IF(AND(size&gt;16,#REF!&gt;=1),0.35,IF(AND(size&gt;16,#REF!&gt;=0.3),(0.25+(1/X40*100)),1.75/X40*100))</f>
        <v>#REF!</v>
      </c>
      <c r="V40" s="156">
        <f>IF(size&lt;=15,"#N/A",IF(OR('Area Calc for Velocity value'!$P$38=2,'Area Calc for Velocity value'!$P$38=4),"#N/A",IF(size&gt;200," #NA", S40)))</f>
        <v>0.22523904</v>
      </c>
      <c r="W40" s="170">
        <f>IF('Area Calc for Velocity value'!$P$38=1,IF(size&gt;=25,IF(C40&gt;0.3,0.35,2/D40*100), " #NA"))</f>
        <v>0.35</v>
      </c>
      <c r="X40" s="159">
        <f t="shared" si="8"/>
        <v>0.35</v>
      </c>
      <c r="Z40" s="96">
        <f t="shared" si="9"/>
        <v>12.5</v>
      </c>
      <c r="AA40" s="104">
        <f>IF('Accuracy Statement'!$D$9&gt;10,"ERROR",J40)</f>
        <v>0.35</v>
      </c>
      <c r="AB40" s="1">
        <f>IF('Accuracy Statement'!$D$9&gt;10,"ERROR",N40)</f>
        <v>0.22523904</v>
      </c>
      <c r="AC40" s="104">
        <f>IF('Accuracy Statement'!$D$9&gt;10,"ERROR",R40)</f>
        <v>0.3</v>
      </c>
      <c r="AD40" s="1">
        <f>IF('Accuracy Statement'!$D$9&gt;10,"ERROR",V40)</f>
        <v>0.22523904</v>
      </c>
      <c r="AE40" s="104">
        <f>IF('Accuracy Statement'!$D$9&gt;10,"ERROR",X40)</f>
        <v>0.35</v>
      </c>
      <c r="AF40" s="107">
        <f>IF('Accuracy Statement'!$D$9&gt;10,"ERROR",0.5+(1/D40*100))</f>
        <v>0.72619520000000004</v>
      </c>
      <c r="AG40" s="1">
        <f>IF('Accuracy Statement'!$D$9&gt;10,"ERROR",0.2+(2/D40*100))</f>
        <v>0.65239040000000015</v>
      </c>
      <c r="AH40" s="107">
        <f>IF('Accuracy Statement'!$D$9&gt;10,"ERROR",IF(C40&lt;2,0.25+1/D40*100,0.25+1.5/D40*100))</f>
        <v>0.47619520000000004</v>
      </c>
      <c r="AI40" s="1">
        <f>IF('Accuracy Statement'!$D$9&gt;10,"ERROR",IF($C40&lt;4,0.15+1/$D40*100,0.18))</f>
        <v>0.37619520000000006</v>
      </c>
      <c r="AJ40" s="110">
        <f>IF('Accuracy Statement'!$D$9&gt;10,"ERROR",0.3+1/D40*100)</f>
        <v>0.52619520000000009</v>
      </c>
      <c r="AK40" s="73">
        <f>IF('Accuracy Statement'!$D$9&gt;10,"ERROR",0.2+1/D40*100)</f>
        <v>0.42619520000000011</v>
      </c>
      <c r="AL40" s="110">
        <f>IF('Accuracy Statement'!$D$9&gt;10,"ERROR",0.3+(100*(0.0002*$AN$56)/(($C40/10)*$AN$56)))</f>
        <v>0.75239040000000013</v>
      </c>
      <c r="AM40" s="167">
        <f>IF('Accuracy Statement'!$D$9&gt;10,"ERROR",0.4+(100*(0.0002*$AN$56)/(($C40/10)*$AN$56)))</f>
        <v>0.85239040000000021</v>
      </c>
      <c r="AN40" s="110">
        <f>IF('Accuracy Statement'!$D$9&gt;10,"ERROR",0.2+(100*(0.0002*$AN$56)/(($C40/10)*$AN$56)))</f>
        <v>0.65239040000000015</v>
      </c>
      <c r="AO40" s="100">
        <f>IF('Accuracy Statement'!$D$9&gt;10,"ERROR",0.2+1/F40*100)</f>
        <v>285.91428571428571</v>
      </c>
      <c r="AP40" s="110">
        <f>IF('Accuracy Statement'!$D$9&gt;10,"ERROR",IF(C40&lt;0.25, 2.5/D40*100, 0.5+(1.25/D40)*100))</f>
        <v>0.78274400000000011</v>
      </c>
    </row>
    <row r="41" spans="2:42">
      <c r="B41" s="87">
        <v>10</v>
      </c>
      <c r="C41" s="2">
        <f t="shared" si="5"/>
        <v>0.35367682426505948</v>
      </c>
      <c r="D41" s="88">
        <f t="shared" si="6"/>
        <v>353.67682426505945</v>
      </c>
      <c r="E41" s="79" t="str">
        <f t="shared" si="0"/>
        <v xml:space="preserve">  #NA</v>
      </c>
      <c r="F41" s="31">
        <f>IF('Area Calc for Velocity value'!$P$38=1,IF(C41&gt;0.15,0.35,0.5/D41*100)," #NA")</f>
        <v>0.35</v>
      </c>
      <c r="G41" s="31">
        <f t="shared" si="1"/>
        <v>0.35</v>
      </c>
      <c r="H41" s="116">
        <f>IF(size=15,E41,IF('Area Calc for Velocity value'!$P$38=3,G41,F41))</f>
        <v>0.35</v>
      </c>
      <c r="I41" s="31" t="str">
        <f>IF('Area Calc for Velocity value'!$P$38=2,IF(size&gt;=50,IF(C41&gt;0.3,0.35,1/D41*100), " #NA"),IF(AND('Area Calc for Velocity value'!$P$38=4,size&gt;=25),IF(C41&gt;0.3,0.35,1/D41*100),"#NA"))</f>
        <v>#NA</v>
      </c>
      <c r="J41" s="119">
        <f>IF(OR('Area Calc for Velocity value'!$P$38=3, 'Area Calc for Velocity value'!$P$38=1),H41,I41)</f>
        <v>0.35</v>
      </c>
      <c r="K41" s="79">
        <f t="shared" si="7"/>
        <v>0.2365488</v>
      </c>
      <c r="L41" s="77" t="e">
        <f>IF(AND(size&gt;=1,#REF!&gt;0.3),0.35,1/J41*100)</f>
        <v>#REF!</v>
      </c>
      <c r="M41" s="73" t="e">
        <f>IF(AND(size&gt;16,#REF!&gt;=1),0.35,IF(AND(size&gt;16,#REF!&gt;=0.3),(0.25+(1/J41*100)),1.75/J41*100))</f>
        <v>#REF!</v>
      </c>
      <c r="N41" s="156">
        <f>IF(size&lt;=15,"#N/A",IF(OR('Area Calc for Velocity value'!$P$38=2,'Area Calc for Velocity value'!$P$38=4),"#N/A",IF(size&gt;200," #NA", K41)))</f>
        <v>0.2365488</v>
      </c>
      <c r="O41" s="78" t="str">
        <f t="shared" si="2"/>
        <v xml:space="preserve">  #NA</v>
      </c>
      <c r="P41" s="78">
        <f>IF('Area Calc for Velocity value'!$P$38=1,IF(C41&gt;0.15,0.3,0.5/D41*100)," #NA")</f>
        <v>0.3</v>
      </c>
      <c r="Q41" s="78">
        <f t="shared" si="3"/>
        <v>0.3</v>
      </c>
      <c r="R41" s="116">
        <f>IF(size=15,O41,IF('Area Calc for Velocity value'!$P$38=3,Q41,P41))</f>
        <v>0.3</v>
      </c>
      <c r="S41" s="116">
        <f t="shared" si="4"/>
        <v>0.2365488</v>
      </c>
      <c r="T41" s="77" t="e">
        <f>IF(AND(size&gt;=1,#REF!&gt;0.3),0.35,1/X41*100)</f>
        <v>#REF!</v>
      </c>
      <c r="U41" s="73" t="e">
        <f>IF(AND(size&gt;16,#REF!&gt;=1),0.35,IF(AND(size&gt;16,#REF!&gt;=0.3),(0.25+(1/X41*100)),1.75/X41*100))</f>
        <v>#REF!</v>
      </c>
      <c r="V41" s="156">
        <f>IF(size&lt;=15,"#N/A",IF(OR('Area Calc for Velocity value'!$P$38=2,'Area Calc for Velocity value'!$P$38=4),"#N/A",IF(size&gt;200," #NA", S41)))</f>
        <v>0.2365488</v>
      </c>
      <c r="W41" s="170">
        <f>IF('Area Calc for Velocity value'!$P$38=1,IF(size&gt;=25,IF(C41&gt;0.3,0.35,2/D41*100), " #NA"))</f>
        <v>0.35</v>
      </c>
      <c r="X41" s="159">
        <f t="shared" si="8"/>
        <v>0.35</v>
      </c>
      <c r="Z41" s="96">
        <f t="shared" si="9"/>
        <v>10</v>
      </c>
      <c r="AA41" s="104">
        <f>IF('Accuracy Statement'!$D$9&gt;10,"ERROR",J41)</f>
        <v>0.35</v>
      </c>
      <c r="AB41" s="1">
        <f>IF('Accuracy Statement'!$D$9&gt;10,"ERROR",N41)</f>
        <v>0.2365488</v>
      </c>
      <c r="AC41" s="104">
        <f>IF('Accuracy Statement'!$D$9&gt;10,"ERROR",R41)</f>
        <v>0.3</v>
      </c>
      <c r="AD41" s="1">
        <f>IF('Accuracy Statement'!$D$9&gt;10,"ERROR",V41)</f>
        <v>0.2365488</v>
      </c>
      <c r="AE41" s="104">
        <f>IF('Accuracy Statement'!$D$9&gt;10,"ERROR",X41)</f>
        <v>0.35</v>
      </c>
      <c r="AF41" s="107">
        <f>IF('Accuracy Statement'!$D$9&gt;10,"ERROR",0.5+(1/D41*100))</f>
        <v>0.78274400000000011</v>
      </c>
      <c r="AG41" s="1">
        <f>IF('Accuracy Statement'!$D$9&gt;10,"ERROR",0.2+(2/D41*100))</f>
        <v>0.76548800000000017</v>
      </c>
      <c r="AH41" s="107">
        <f>IF('Accuracy Statement'!$D$9&gt;10,"ERROR",IF(C41&lt;2,0.25+1/D41*100,0.25+1.5/D41*100))</f>
        <v>0.53274400000000011</v>
      </c>
      <c r="AI41" s="1">
        <f>IF('Accuracy Statement'!$D$9&gt;10,"ERROR",IF($C41&lt;4,0.15+1/$D41*100,0.18))</f>
        <v>0.43274400000000013</v>
      </c>
      <c r="AJ41" s="110">
        <f>IF('Accuracy Statement'!$D$9&gt;10,"ERROR",0.3+1/D41*100)</f>
        <v>0.58274400000000015</v>
      </c>
      <c r="AK41" s="73">
        <f>IF('Accuracy Statement'!$D$9&gt;10,"ERROR",0.2+1/D41*100)</f>
        <v>0.48274400000000012</v>
      </c>
      <c r="AL41" s="110">
        <f>IF('Accuracy Statement'!$D$9&gt;10,"ERROR",0.3+(100*(0.0002*$AN$56)/(($C41/10)*$AN$56)))</f>
        <v>0.86548800000000004</v>
      </c>
      <c r="AM41" s="167">
        <f>IF('Accuracy Statement'!$D$9&gt;10,"ERROR",0.4+(100*(0.0002*$AN$56)/(($C41/10)*$AN$56)))</f>
        <v>0.96548800000000012</v>
      </c>
      <c r="AN41" s="110">
        <f>IF('Accuracy Statement'!$D$9&gt;10,"ERROR",0.2+(100*(0.0002*$AN$56)/(($C41/10)*$AN$56)))</f>
        <v>0.76548800000000017</v>
      </c>
      <c r="AO41" s="100">
        <f>IF('Accuracy Statement'!$D$9&gt;10,"ERROR",0.2+1/F41*100)</f>
        <v>285.91428571428571</v>
      </c>
      <c r="AP41" s="110">
        <f>IF('Accuracy Statement'!$D$9&gt;10,"ERROR",IF(C41&lt;0.25, 2.5/D41*100, 0.5+(1.25/D41)*100))</f>
        <v>0.85343000000000013</v>
      </c>
    </row>
    <row r="42" spans="2:42">
      <c r="B42" s="87">
        <v>9</v>
      </c>
      <c r="C42" s="2">
        <f t="shared" si="5"/>
        <v>0.31830914183855352</v>
      </c>
      <c r="D42" s="88">
        <f t="shared" si="6"/>
        <v>318.3091418385535</v>
      </c>
      <c r="E42" s="79" t="str">
        <f t="shared" si="0"/>
        <v xml:space="preserve">  #NA</v>
      </c>
      <c r="F42" s="31">
        <f>IF('Area Calc for Velocity value'!$P$38=1,IF(C42&gt;0.15,0.35,0.5/D42*100)," #NA")</f>
        <v>0.35</v>
      </c>
      <c r="G42" s="31">
        <f t="shared" si="1"/>
        <v>0.35</v>
      </c>
      <c r="H42" s="116">
        <f>IF(size=15,E42,IF('Area Calc for Velocity value'!$P$38=3,G42,F42))</f>
        <v>0.35</v>
      </c>
      <c r="I42" s="31" t="str">
        <f>IF('Area Calc for Velocity value'!$P$38=2,IF(size&gt;=50,IF(C42&gt;0.3,0.35,1/D42*100), " #NA"),IF(AND('Area Calc for Velocity value'!$P$38=4,size&gt;=25),IF(C42&gt;0.3,0.35,1/D42*100),"#NA"))</f>
        <v>#NA</v>
      </c>
      <c r="J42" s="119">
        <f>IF(OR('Area Calc for Velocity value'!$P$38=3, 'Area Calc for Velocity value'!$P$38=1),H42,I42)</f>
        <v>0.35</v>
      </c>
      <c r="K42" s="79">
        <f t="shared" si="7"/>
        <v>0.24283200000000002</v>
      </c>
      <c r="L42" s="77" t="e">
        <f>IF(AND(size&gt;=1,#REF!&gt;0.3),0.35,1/J42*100)</f>
        <v>#REF!</v>
      </c>
      <c r="M42" s="73" t="e">
        <f>IF(AND(size&gt;16,#REF!&gt;=1),0.35,IF(AND(size&gt;16,#REF!&gt;=0.3),(0.25+(1/J42*100)),1.75/J42*100))</f>
        <v>#REF!</v>
      </c>
      <c r="N42" s="156">
        <f>IF(size&lt;=15,"#N/A",IF(OR('Area Calc for Velocity value'!$P$38=2,'Area Calc for Velocity value'!$P$38=4),"#N/A",IF(size&gt;200," #NA", K42)))</f>
        <v>0.24283200000000002</v>
      </c>
      <c r="O42" s="78" t="str">
        <f t="shared" si="2"/>
        <v xml:space="preserve">  #NA</v>
      </c>
      <c r="P42" s="78">
        <f>IF('Area Calc for Velocity value'!$P$38=1,IF(C42&gt;0.15,0.3,0.5/D42*100)," #NA")</f>
        <v>0.3</v>
      </c>
      <c r="Q42" s="78">
        <f t="shared" si="3"/>
        <v>0.3</v>
      </c>
      <c r="R42" s="116">
        <f>IF(size=15,O42,IF('Area Calc for Velocity value'!$P$38=3,Q42,P42))</f>
        <v>0.3</v>
      </c>
      <c r="S42" s="116">
        <f t="shared" si="4"/>
        <v>0.24283200000000002</v>
      </c>
      <c r="T42" s="77" t="e">
        <f>IF(AND(size&gt;=1,#REF!&gt;0.3),0.35,1/X42*100)</f>
        <v>#REF!</v>
      </c>
      <c r="U42" s="73" t="e">
        <f>IF(AND(size&gt;16,#REF!&gt;=1),0.35,IF(AND(size&gt;16,#REF!&gt;=0.3),(0.25+(1/X42*100)),1.75/X42*100))</f>
        <v>#REF!</v>
      </c>
      <c r="V42" s="156">
        <f>IF(size&lt;=15,"#N/A",IF(OR('Area Calc for Velocity value'!$P$38=2,'Area Calc for Velocity value'!$P$38=4),"#N/A",IF(size&gt;200," #NA", S42)))</f>
        <v>0.24283200000000002</v>
      </c>
      <c r="W42" s="170">
        <f>IF('Area Calc for Velocity value'!$P$38=1,IF(size&gt;=25,IF(C42&gt;0.3,0.35,2/D42*100), " #NA"))</f>
        <v>0.35</v>
      </c>
      <c r="X42" s="159">
        <f t="shared" si="8"/>
        <v>0.35</v>
      </c>
      <c r="Z42" s="96">
        <f t="shared" si="9"/>
        <v>9</v>
      </c>
      <c r="AA42" s="104">
        <f>IF('Accuracy Statement'!$D$9&gt;10,"ERROR",J42)</f>
        <v>0.35</v>
      </c>
      <c r="AB42" s="1">
        <f>IF('Accuracy Statement'!$D$9&gt;10,"ERROR",N42)</f>
        <v>0.24283200000000002</v>
      </c>
      <c r="AC42" s="104">
        <f>IF('Accuracy Statement'!$D$9&gt;10,"ERROR",R42)</f>
        <v>0.3</v>
      </c>
      <c r="AD42" s="1">
        <f>IF('Accuracy Statement'!$D$9&gt;10,"ERROR",V42)</f>
        <v>0.24283200000000002</v>
      </c>
      <c r="AE42" s="104">
        <f>IF('Accuracy Statement'!$D$9&gt;10,"ERROR",X42)</f>
        <v>0.35</v>
      </c>
      <c r="AF42" s="107">
        <f>IF('Accuracy Statement'!$D$9&gt;10,"ERROR",0.5+(1/D42*100))</f>
        <v>0.81416000000000011</v>
      </c>
      <c r="AG42" s="1">
        <f>IF('Accuracy Statement'!$D$9&gt;10,"ERROR",0.2+(2/D42*100))</f>
        <v>0.82832000000000017</v>
      </c>
      <c r="AH42" s="107">
        <f>IF('Accuracy Statement'!$D$9&gt;10,"ERROR",IF(C42&lt;2,0.25+1/D42*100,0.25+1.5/D42*100))</f>
        <v>0.56416000000000011</v>
      </c>
      <c r="AI42" s="1">
        <f>IF('Accuracy Statement'!$D$9&gt;10,"ERROR",IF($C42&lt;4,0.15+1/$D42*100,0.18))</f>
        <v>0.46416000000000013</v>
      </c>
      <c r="AJ42" s="110">
        <f>IF('Accuracy Statement'!$D$9&gt;10,"ERROR",0.3+1/D42*100)</f>
        <v>0.61416000000000004</v>
      </c>
      <c r="AK42" s="73">
        <f>IF('Accuracy Statement'!$D$9&gt;10,"ERROR",0.2+1/D42*100)</f>
        <v>0.51416000000000017</v>
      </c>
      <c r="AL42" s="110">
        <f>IF('Accuracy Statement'!$D$9&gt;10,"ERROR",0.3+(100*(0.0002*$AN$56)/(($C42/10)*$AN$56)))</f>
        <v>0.92832000000000026</v>
      </c>
      <c r="AM42" s="167">
        <f>IF('Accuracy Statement'!$D$9&gt;10,"ERROR",0.4+(100*(0.0002*$AN$56)/(($C42/10)*$AN$56)))</f>
        <v>1.0283200000000003</v>
      </c>
      <c r="AN42" s="110">
        <f>IF('Accuracy Statement'!$D$9&gt;10,"ERROR",0.2+(100*(0.0002*$AN$56)/(($C42/10)*$AN$56)))</f>
        <v>0.82832000000000017</v>
      </c>
      <c r="AO42" s="100">
        <f>IF('Accuracy Statement'!$D$9&gt;10,"ERROR",0.2+1/F42*100)</f>
        <v>285.91428571428571</v>
      </c>
      <c r="AP42" s="110">
        <f>IF('Accuracy Statement'!$D$9&gt;10,"ERROR",IF(C42&lt;0.25, 2.5/D42*100, 0.5+(1.25/D42)*100))</f>
        <v>0.89270000000000016</v>
      </c>
    </row>
    <row r="43" spans="2:42">
      <c r="B43" s="87">
        <v>8</v>
      </c>
      <c r="C43" s="2">
        <f t="shared" si="5"/>
        <v>0.28294145941204757</v>
      </c>
      <c r="D43" s="88">
        <f t="shared" si="6"/>
        <v>282.94145941204755</v>
      </c>
      <c r="E43" s="79" t="str">
        <f t="shared" si="0"/>
        <v xml:space="preserve">  #NA</v>
      </c>
      <c r="F43" s="31">
        <f>IF('Area Calc for Velocity value'!$P$38=1,IF(C43&gt;0.15,0.35,0.5/D43*100)," #NA")</f>
        <v>0.35</v>
      </c>
      <c r="G43" s="31">
        <f t="shared" si="1"/>
        <v>0.35</v>
      </c>
      <c r="H43" s="116">
        <f>IF(size=15,E43,IF('Area Calc for Velocity value'!$P$38=3,G43,F43))</f>
        <v>0.35</v>
      </c>
      <c r="I43" s="31" t="str">
        <f>IF('Area Calc for Velocity value'!$P$38=2,IF(size&gt;=50,IF(C43&gt;0.3,0.35,1/D43*100), " #NA"),IF(AND('Area Calc for Velocity value'!$P$38=4,size&gt;=25),IF(C43&gt;0.3,0.35,1/D43*100),"#NA"))</f>
        <v>#NA</v>
      </c>
      <c r="J43" s="119">
        <f>IF(OR('Area Calc for Velocity value'!$P$38=3, 'Area Calc for Velocity value'!$P$38=1),H43,I43)</f>
        <v>0.35</v>
      </c>
      <c r="K43" s="79">
        <f t="shared" si="7"/>
        <v>0.25068600000000002</v>
      </c>
      <c r="L43" s="77" t="e">
        <f>IF(AND(size&gt;=1,#REF!&gt;0.3),0.35,1/J43*100)</f>
        <v>#REF!</v>
      </c>
      <c r="M43" s="73" t="e">
        <f>IF(AND(size&gt;16,#REF!&gt;=1),0.35,IF(AND(size&gt;16,#REF!&gt;=0.3),(0.25+(1/J43*100)),1.75/J43*100))</f>
        <v>#REF!</v>
      </c>
      <c r="N43" s="156">
        <f>IF(size&lt;=15,"#N/A",IF(OR('Area Calc for Velocity value'!$P$38=2,'Area Calc for Velocity value'!$P$38=4),"#N/A",IF(size&gt;200," #NA", K43)))</f>
        <v>0.25068600000000002</v>
      </c>
      <c r="O43" s="78" t="str">
        <f t="shared" si="2"/>
        <v xml:space="preserve">  #NA</v>
      </c>
      <c r="P43" s="78">
        <f>IF('Area Calc for Velocity value'!$P$38=1,IF(C43&gt;0.15,0.3,0.5/D43*100)," #NA")</f>
        <v>0.3</v>
      </c>
      <c r="Q43" s="78">
        <f t="shared" si="3"/>
        <v>0.3</v>
      </c>
      <c r="R43" s="116">
        <f>IF(size=15,O43,IF('Area Calc for Velocity value'!$P$38=3,Q43,P43))</f>
        <v>0.3</v>
      </c>
      <c r="S43" s="116">
        <f t="shared" si="4"/>
        <v>0.25068600000000002</v>
      </c>
      <c r="T43" s="77" t="e">
        <f>IF(AND(size&gt;=1,#REF!&gt;0.3),0.35,1/X43*100)</f>
        <v>#REF!</v>
      </c>
      <c r="U43" s="73" t="e">
        <f>IF(AND(size&gt;16,#REF!&gt;=1),0.35,IF(AND(size&gt;16,#REF!&gt;=0.3),(0.25+(1/X43*100)),1.75/X43*100))</f>
        <v>#REF!</v>
      </c>
      <c r="V43" s="156">
        <f>IF(size&lt;=15,"#N/A",IF(OR('Area Calc for Velocity value'!$P$38=2,'Area Calc for Velocity value'!$P$38=4),"#N/A",IF(size&gt;200," #NA", S43)))</f>
        <v>0.25068600000000002</v>
      </c>
      <c r="W43" s="170">
        <f>IF('Area Calc for Velocity value'!$P$38=1,IF(size&gt;=25,IF(C43&gt;0.3,0.35,2/D43*100), " #NA"))</f>
        <v>0.70686000000000027</v>
      </c>
      <c r="X43" s="159">
        <f t="shared" si="8"/>
        <v>0.70686000000000027</v>
      </c>
      <c r="Z43" s="96">
        <f t="shared" si="9"/>
        <v>8</v>
      </c>
      <c r="AA43" s="104">
        <f>IF('Accuracy Statement'!$D$9&gt;10,"ERROR",J43)</f>
        <v>0.35</v>
      </c>
      <c r="AB43" s="1">
        <f>IF('Accuracy Statement'!$D$9&gt;10,"ERROR",N43)</f>
        <v>0.25068600000000002</v>
      </c>
      <c r="AC43" s="104">
        <f>IF('Accuracy Statement'!$D$9&gt;10,"ERROR",R43)</f>
        <v>0.3</v>
      </c>
      <c r="AD43" s="1">
        <f>IF('Accuracy Statement'!$D$9&gt;10,"ERROR",V43)</f>
        <v>0.25068600000000002</v>
      </c>
      <c r="AE43" s="104">
        <f>IF('Accuracy Statement'!$D$9&gt;10,"ERROR",X43)</f>
        <v>0.70686000000000027</v>
      </c>
      <c r="AF43" s="107">
        <f>IF('Accuracy Statement'!$D$9&gt;10,"ERROR",0.5+(1/D43*100))</f>
        <v>0.85343000000000013</v>
      </c>
      <c r="AG43" s="1">
        <f>IF('Accuracy Statement'!$D$9&gt;10,"ERROR",0.2+(2/D43*100))</f>
        <v>0.90686000000000022</v>
      </c>
      <c r="AH43" s="107">
        <f>IF('Accuracy Statement'!$D$9&gt;10,"ERROR",IF(C43&lt;2,0.25+1/D43*100,0.25+1.5/D43*100))</f>
        <v>0.60343000000000013</v>
      </c>
      <c r="AI43" s="1">
        <f>IF('Accuracy Statement'!$D$9&gt;10,"ERROR",IF($C43&lt;4,0.15+1/$D43*100,0.18))</f>
        <v>0.50343000000000016</v>
      </c>
      <c r="AJ43" s="110">
        <f>IF('Accuracy Statement'!$D$9&gt;10,"ERROR",0.3+1/D43*100)</f>
        <v>0.65343000000000018</v>
      </c>
      <c r="AK43" s="73">
        <f>IF('Accuracy Statement'!$D$9&gt;10,"ERROR",0.2+1/D43*100)</f>
        <v>0.55343000000000009</v>
      </c>
      <c r="AL43" s="110">
        <f>IF('Accuracy Statement'!$D$9&gt;10,"ERROR",0.3+(100*(0.0002*$AN$56)/(($C43/10)*$AN$56)))</f>
        <v>1.0068600000000003</v>
      </c>
      <c r="AM43" s="167">
        <f>IF('Accuracy Statement'!$D$9&gt;10,"ERROR",0.4+(100*(0.0002*$AN$56)/(($C43/10)*$AN$56)))</f>
        <v>1.1068600000000002</v>
      </c>
      <c r="AN43" s="110">
        <f>IF('Accuracy Statement'!$D$9&gt;10,"ERROR",0.2+(100*(0.0002*$AN$56)/(($C43/10)*$AN$56)))</f>
        <v>0.90686000000000022</v>
      </c>
      <c r="AO43" s="100">
        <f>IF('Accuracy Statement'!$D$9&gt;10,"ERROR",0.2+1/F43*100)</f>
        <v>285.91428571428571</v>
      </c>
      <c r="AP43" s="110">
        <f>IF('Accuracy Statement'!$D$9&gt;10,"ERROR",IF(C43&lt;0.25, 2.5/D43*100, 0.5+(1.25/D43)*100))</f>
        <v>0.94178750000000022</v>
      </c>
    </row>
    <row r="44" spans="2:42">
      <c r="B44" s="87">
        <v>7</v>
      </c>
      <c r="C44" s="2">
        <f t="shared" si="5"/>
        <v>0.24757377698554164</v>
      </c>
      <c r="D44" s="88">
        <f t="shared" si="6"/>
        <v>247.57377698554166</v>
      </c>
      <c r="E44" s="79" t="str">
        <f t="shared" si="0"/>
        <v xml:space="preserve">  #NA</v>
      </c>
      <c r="F44" s="31">
        <f>IF('Area Calc for Velocity value'!$P$38=1,IF(C44&gt;0.15,0.35,0.5/D44*100)," #NA")</f>
        <v>0.35</v>
      </c>
      <c r="G44" s="31">
        <f t="shared" si="1"/>
        <v>0.35</v>
      </c>
      <c r="H44" s="116">
        <f>IF(size=15,E44,IF('Area Calc for Velocity value'!$P$38=3,G44,F44))</f>
        <v>0.35</v>
      </c>
      <c r="I44" s="31" t="str">
        <f>IF('Area Calc for Velocity value'!$P$38=2,IF(size&gt;=50,IF(C44&gt;0.3,0.35,1/D44*100), " #NA"),IF(AND('Area Calc for Velocity value'!$P$38=4,size&gt;=25),IF(C44&gt;0.3,0.35,1/D44*100),"#NA"))</f>
        <v>#NA</v>
      </c>
      <c r="J44" s="119">
        <f>IF(OR('Area Calc for Velocity value'!$P$38=3, 'Area Calc for Velocity value'!$P$38=1),H44,I44)</f>
        <v>0.35</v>
      </c>
      <c r="K44" s="79">
        <f t="shared" si="7"/>
        <v>0.26078400000000002</v>
      </c>
      <c r="L44" s="77" t="e">
        <f>IF(AND(size&gt;=1,#REF!&gt;0.3),0.35,1/J44*100)</f>
        <v>#REF!</v>
      </c>
      <c r="M44" s="73" t="e">
        <f>IF(AND(size&gt;16,#REF!&gt;=1),0.35,IF(AND(size&gt;16,#REF!&gt;=0.3),(0.25+(1/J44*100)),1.75/J44*100))</f>
        <v>#REF!</v>
      </c>
      <c r="N44" s="156">
        <f>IF(size&lt;=15,"#N/A",IF(OR('Area Calc for Velocity value'!$P$38=2,'Area Calc for Velocity value'!$P$38=4),"#N/A",IF(size&gt;200," #NA", K44)))</f>
        <v>0.26078400000000002</v>
      </c>
      <c r="O44" s="78" t="str">
        <f t="shared" si="2"/>
        <v xml:space="preserve">  #NA</v>
      </c>
      <c r="P44" s="78">
        <f>IF('Area Calc for Velocity value'!$P$38=1,IF(C44&gt;0.15,0.3,0.5/D44*100)," #NA")</f>
        <v>0.3</v>
      </c>
      <c r="Q44" s="78">
        <f t="shared" si="3"/>
        <v>0.3</v>
      </c>
      <c r="R44" s="116">
        <f>IF(size=15,O44,IF('Area Calc for Velocity value'!$P$38=3,Q44,P44))</f>
        <v>0.3</v>
      </c>
      <c r="S44" s="116">
        <f t="shared" si="4"/>
        <v>0.26078400000000002</v>
      </c>
      <c r="T44" s="77" t="e">
        <f>IF(AND(size&gt;=1,#REF!&gt;0.3),0.35,1/X44*100)</f>
        <v>#REF!</v>
      </c>
      <c r="U44" s="73" t="e">
        <f>IF(AND(size&gt;16,#REF!&gt;=1),0.35,IF(AND(size&gt;16,#REF!&gt;=0.3),(0.25+(1/X44*100)),1.75/X44*100))</f>
        <v>#REF!</v>
      </c>
      <c r="V44" s="156">
        <f>IF(size&lt;=15,"#N/A",IF(OR('Area Calc for Velocity value'!$P$38=2,'Area Calc for Velocity value'!$P$38=4),"#N/A",IF(size&gt;200," #NA", S44)))</f>
        <v>0.26078400000000002</v>
      </c>
      <c r="W44" s="170">
        <f>IF('Area Calc for Velocity value'!$P$38=1,IF(size&gt;=25,IF(C44&gt;0.3,0.35,2/D44*100), " #NA"))</f>
        <v>0.80784000000000011</v>
      </c>
      <c r="X44" s="159">
        <f t="shared" si="8"/>
        <v>0.80784000000000011</v>
      </c>
      <c r="Z44" s="96">
        <f t="shared" si="9"/>
        <v>7</v>
      </c>
      <c r="AA44" s="104">
        <f>IF('Accuracy Statement'!$D$9&gt;10,"ERROR",J44)</f>
        <v>0.35</v>
      </c>
      <c r="AB44" s="1">
        <f>IF('Accuracy Statement'!$D$9&gt;10,"ERROR",N44)</f>
        <v>0.26078400000000002</v>
      </c>
      <c r="AC44" s="104">
        <f>IF('Accuracy Statement'!$D$9&gt;10,"ERROR",R44)</f>
        <v>0.3</v>
      </c>
      <c r="AD44" s="1">
        <f>IF('Accuracy Statement'!$D$9&gt;10,"ERROR",V44)</f>
        <v>0.26078400000000002</v>
      </c>
      <c r="AE44" s="104">
        <f>IF('Accuracy Statement'!$D$9&gt;10,"ERROR",X44)</f>
        <v>0.80784000000000011</v>
      </c>
      <c r="AF44" s="107">
        <f>IF('Accuracy Statement'!$D$9&gt;10,"ERROR",0.5+(1/D44*100))</f>
        <v>0.90392000000000006</v>
      </c>
      <c r="AG44" s="1">
        <f>IF('Accuracy Statement'!$D$9&gt;10,"ERROR",0.2+(2/D44*100))</f>
        <v>1.0078400000000001</v>
      </c>
      <c r="AH44" s="107">
        <f>IF('Accuracy Statement'!$D$9&gt;10,"ERROR",IF(C44&lt;2,0.25+1/D44*100,0.25+1.5/D44*100))</f>
        <v>0.65392000000000006</v>
      </c>
      <c r="AI44" s="1">
        <f>IF('Accuracy Statement'!$D$9&gt;10,"ERROR",IF($C44&lt;4,0.15+1/$D44*100,0.18))</f>
        <v>0.55392000000000008</v>
      </c>
      <c r="AJ44" s="110">
        <f>IF('Accuracy Statement'!$D$9&gt;10,"ERROR",0.3+1/D44*100)</f>
        <v>0.7039200000000001</v>
      </c>
      <c r="AK44" s="73">
        <f>IF('Accuracy Statement'!$D$9&gt;10,"ERROR",0.2+1/D44*100)</f>
        <v>0.60392000000000001</v>
      </c>
      <c r="AL44" s="110">
        <f>IF('Accuracy Statement'!$D$9&gt;10,"ERROR",0.3+(100*(0.0002*$AN$56)/(($C44/10)*$AN$56)))</f>
        <v>1.1078400000000002</v>
      </c>
      <c r="AM44" s="167">
        <f>IF('Accuracy Statement'!$D$9&gt;10,"ERROR",0.4+(100*(0.0002*$AN$56)/(($C44/10)*$AN$56)))</f>
        <v>1.2078400000000002</v>
      </c>
      <c r="AN44" s="110">
        <f>IF('Accuracy Statement'!$D$9&gt;10,"ERROR",0.2+(100*(0.0002*$AN$56)/(($C44/10)*$AN$56)))</f>
        <v>1.0078400000000003</v>
      </c>
      <c r="AO44" s="100">
        <f>IF('Accuracy Statement'!$D$9&gt;10,"ERROR",0.2+1/F44*100)</f>
        <v>285.91428571428571</v>
      </c>
      <c r="AP44" s="110">
        <f>IF('Accuracy Statement'!$D$9&gt;10,"ERROR",IF(C44&lt;0.25, 2.5/D44*100, 0.5+(1.25/D44)*100))</f>
        <v>1.0098</v>
      </c>
    </row>
    <row r="45" spans="2:42">
      <c r="B45" s="87">
        <v>6</v>
      </c>
      <c r="C45" s="2">
        <f t="shared" si="5"/>
        <v>0.21220609455903566</v>
      </c>
      <c r="D45" s="88">
        <f t="shared" si="6"/>
        <v>212.20609455903568</v>
      </c>
      <c r="E45" s="79" t="str">
        <f t="shared" si="0"/>
        <v xml:space="preserve">  #NA</v>
      </c>
      <c r="F45" s="31">
        <f>IF('Area Calc for Velocity value'!$P$38=1,IF(C45&gt;0.15,0.35,0.5/D45*100)," #NA")</f>
        <v>0.35</v>
      </c>
      <c r="G45" s="31">
        <f t="shared" si="1"/>
        <v>0.35</v>
      </c>
      <c r="H45" s="116">
        <f>IF(size=15,E45,IF('Area Calc for Velocity value'!$P$38=3,G45,F45))</f>
        <v>0.35</v>
      </c>
      <c r="I45" s="31" t="str">
        <f>IF('Area Calc for Velocity value'!$P$38=2,IF(size&gt;=50,IF(C45&gt;0.3,0.35,1/D45*100), " #NA"),IF(AND('Area Calc for Velocity value'!$P$38=4,size&gt;=25),IF(C45&gt;0.3,0.35,1/D45*100),"#NA"))</f>
        <v>#NA</v>
      </c>
      <c r="J45" s="119">
        <f>IF(OR('Area Calc for Velocity value'!$P$38=3, 'Area Calc for Velocity value'!$P$38=1),H45,I45)</f>
        <v>0.35</v>
      </c>
      <c r="K45" s="79">
        <f t="shared" si="7"/>
        <v>0.27424800000000005</v>
      </c>
      <c r="L45" s="77" t="e">
        <f>IF(AND(size&gt;=1,#REF!&gt;0.3),0.35,1/J45*100)</f>
        <v>#REF!</v>
      </c>
      <c r="M45" s="73" t="e">
        <f>IF(AND(size&gt;16,#REF!&gt;=1),0.35,IF(AND(size&gt;16,#REF!&gt;=0.3),(0.25+(1/J45*100)),1.75/J45*100))</f>
        <v>#REF!</v>
      </c>
      <c r="N45" s="156">
        <f>IF(size&lt;=15,"#N/A",IF(OR('Area Calc for Velocity value'!$P$38=2,'Area Calc for Velocity value'!$P$38=4),"#N/A",IF(size&gt;200," #NA", K45)))</f>
        <v>0.27424800000000005</v>
      </c>
      <c r="O45" s="78" t="str">
        <f t="shared" si="2"/>
        <v xml:space="preserve">  #NA</v>
      </c>
      <c r="P45" s="78">
        <f>IF('Area Calc for Velocity value'!$P$38=1,IF(C45&gt;0.15,0.3,0.5/D45*100)," #NA")</f>
        <v>0.3</v>
      </c>
      <c r="Q45" s="78">
        <f t="shared" si="3"/>
        <v>0.3</v>
      </c>
      <c r="R45" s="116">
        <f>IF(size=15,O45,IF('Area Calc for Velocity value'!$P$38=3,Q45,P45))</f>
        <v>0.3</v>
      </c>
      <c r="S45" s="116">
        <f t="shared" si="4"/>
        <v>0.27424800000000005</v>
      </c>
      <c r="T45" s="77" t="e">
        <f>IF(AND(size&gt;=1,#REF!&gt;0.3),0.35,1/X45*100)</f>
        <v>#REF!</v>
      </c>
      <c r="U45" s="73" t="e">
        <f>IF(AND(size&gt;16,#REF!&gt;=1),0.35,IF(AND(size&gt;16,#REF!&gt;=0.3),(0.25+(1/X45*100)),1.75/X45*100))</f>
        <v>#REF!</v>
      </c>
      <c r="V45" s="156">
        <f>IF(size&lt;=15,"#N/A",IF(OR('Area Calc for Velocity value'!$P$38=2,'Area Calc for Velocity value'!$P$38=4),"#N/A",IF(size&gt;200," #NA", S45)))</f>
        <v>0.27424800000000005</v>
      </c>
      <c r="W45" s="170">
        <f>IF('Area Calc for Velocity value'!$P$38=1,IF(size&gt;=25,IF(C45&gt;0.3,0.35,2/D45*100), " #NA"))</f>
        <v>0.94248000000000021</v>
      </c>
      <c r="X45" s="159">
        <f t="shared" si="8"/>
        <v>0.94248000000000021</v>
      </c>
      <c r="Z45" s="96">
        <f t="shared" si="9"/>
        <v>6</v>
      </c>
      <c r="AA45" s="104">
        <f>IF('Accuracy Statement'!$D$9&gt;10,"ERROR",J45)</f>
        <v>0.35</v>
      </c>
      <c r="AB45" s="1">
        <f>IF('Accuracy Statement'!$D$9&gt;10,"ERROR",N45)</f>
        <v>0.27424800000000005</v>
      </c>
      <c r="AC45" s="104">
        <f>IF('Accuracy Statement'!$D$9&gt;10,"ERROR",R45)</f>
        <v>0.3</v>
      </c>
      <c r="AD45" s="1">
        <f>IF('Accuracy Statement'!$D$9&gt;10,"ERROR",V45)</f>
        <v>0.27424800000000005</v>
      </c>
      <c r="AE45" s="104">
        <f>IF('Accuracy Statement'!$D$9&gt;10,"ERROR",X45)</f>
        <v>0.94248000000000021</v>
      </c>
      <c r="AF45" s="107">
        <f>IF('Accuracy Statement'!$D$9&gt;10,"ERROR",0.5+(1/D45*100))</f>
        <v>0.9712400000000001</v>
      </c>
      <c r="AG45" s="1">
        <f>IF('Accuracy Statement'!$D$9&gt;10,"ERROR",0.2+(2/D45*100))</f>
        <v>1.1424800000000002</v>
      </c>
      <c r="AH45" s="107">
        <f>IF('Accuracy Statement'!$D$9&gt;10,"ERROR",IF(C45&lt;2,0.25+1/D45*100,0.25+1.5/D45*100))</f>
        <v>0.7212400000000001</v>
      </c>
      <c r="AI45" s="1">
        <f>IF('Accuracy Statement'!$D$9&gt;10,"ERROR",IF($C45&lt;4,0.15+1/$D45*100,0.18))</f>
        <v>0.62124000000000013</v>
      </c>
      <c r="AJ45" s="110">
        <f>IF('Accuracy Statement'!$D$9&gt;10,"ERROR",0.3+1/D45*100)</f>
        <v>0.77124000000000015</v>
      </c>
      <c r="AK45" s="73">
        <f>IF('Accuracy Statement'!$D$9&gt;10,"ERROR",0.2+1/D45*100)</f>
        <v>0.67124000000000006</v>
      </c>
      <c r="AL45" s="110">
        <f>IF('Accuracy Statement'!$D$9&gt;10,"ERROR",0.3+(100*(0.0002*$AN$56)/(($C45/10)*$AN$56)))</f>
        <v>1.2424800000000003</v>
      </c>
      <c r="AM45" s="167">
        <f>IF('Accuracy Statement'!$D$9&gt;10,"ERROR",0.4+(100*(0.0002*$AN$56)/(($C45/10)*$AN$56)))</f>
        <v>1.3424800000000001</v>
      </c>
      <c r="AN45" s="110">
        <f>IF('Accuracy Statement'!$D$9&gt;10,"ERROR",0.2+(100*(0.0002*$AN$56)/(($C45/10)*$AN$56)))</f>
        <v>1.1424800000000002</v>
      </c>
      <c r="AO45" s="100">
        <f>IF('Accuracy Statement'!$D$9&gt;10,"ERROR",0.2+1/F45*100)</f>
        <v>285.91428571428571</v>
      </c>
      <c r="AP45" s="110">
        <f>IF('Accuracy Statement'!$D$9&gt;10,"ERROR",IF(C45&lt;0.25, 2.5/D45*100, 0.5+(1.25/D45)*100))</f>
        <v>1.1781000000000004</v>
      </c>
    </row>
    <row r="46" spans="2:42">
      <c r="B46" s="87">
        <v>5</v>
      </c>
      <c r="C46" s="2">
        <f t="shared" si="5"/>
        <v>0.17683841213252974</v>
      </c>
      <c r="D46" s="88">
        <f t="shared" si="6"/>
        <v>176.83841213252973</v>
      </c>
      <c r="E46" s="79" t="str">
        <f t="shared" si="0"/>
        <v xml:space="preserve">  #NA</v>
      </c>
      <c r="F46" s="31">
        <f>IF('Area Calc for Velocity value'!$P$38=1,IF(C46&gt;0.15,0.35,0.5/D46*100)," #NA")</f>
        <v>0.35</v>
      </c>
      <c r="G46" s="31">
        <f t="shared" si="1"/>
        <v>0.35</v>
      </c>
      <c r="H46" s="116">
        <f>IF(size=15,E46,IF('Area Calc for Velocity value'!$P$38=3,G46,F46))</f>
        <v>0.35</v>
      </c>
      <c r="I46" s="31" t="str">
        <f>IF('Area Calc for Velocity value'!$P$38=2,IF(size&gt;=50,IF(C46&gt;0.3,0.35,1/D46*100), " #NA"),IF(AND('Area Calc for Velocity value'!$P$38=4,size&gt;=25),IF(C46&gt;0.3,0.35,1/D46*100),"#NA"))</f>
        <v>#NA</v>
      </c>
      <c r="J46" s="119">
        <f>IF(OR('Area Calc for Velocity value'!$P$38=3, 'Area Calc for Velocity value'!$P$38=1),H46,I46)</f>
        <v>0.35</v>
      </c>
      <c r="K46" s="79">
        <f t="shared" si="7"/>
        <v>0.29309760000000001</v>
      </c>
      <c r="L46" s="77" t="e">
        <f>IF(AND(size&gt;=1,#REF!&gt;0.3),0.35,1/J46*100)</f>
        <v>#REF!</v>
      </c>
      <c r="M46" s="73" t="e">
        <f>IF(AND(size&gt;16,#REF!&gt;=1),0.35,IF(AND(size&gt;16,#REF!&gt;=0.3),(0.25+(1/J46*100)),1.75/J46*100))</f>
        <v>#REF!</v>
      </c>
      <c r="N46" s="156">
        <f>IF(size&lt;=15,"#N/A",IF(OR('Area Calc for Velocity value'!$P$38=2,'Area Calc for Velocity value'!$P$38=4),"#N/A",IF(size&gt;200," #NA", K46)))</f>
        <v>0.29309760000000001</v>
      </c>
      <c r="O46" s="78" t="str">
        <f t="shared" si="2"/>
        <v xml:space="preserve">  #NA</v>
      </c>
      <c r="P46" s="78">
        <f>IF('Area Calc for Velocity value'!$P$38=1,IF(C46&gt;0.15,0.3,0.5/D46*100)," #NA")</f>
        <v>0.3</v>
      </c>
      <c r="Q46" s="78">
        <f t="shared" si="3"/>
        <v>0.3</v>
      </c>
      <c r="R46" s="116">
        <f>IF(size=15,O46,IF('Area Calc for Velocity value'!$P$38=3,Q46,P46))</f>
        <v>0.3</v>
      </c>
      <c r="S46" s="116">
        <f t="shared" si="4"/>
        <v>0.29309760000000001</v>
      </c>
      <c r="T46" s="77" t="e">
        <f>IF(AND(size&gt;=1,#REF!&gt;0.3),0.35,1/X46*100)</f>
        <v>#REF!</v>
      </c>
      <c r="U46" s="73" t="e">
        <f>IF(AND(size&gt;16,#REF!&gt;=1),0.35,IF(AND(size&gt;16,#REF!&gt;=0.3),(0.25+(1/X46*100)),1.75/X46*100))</f>
        <v>#REF!</v>
      </c>
      <c r="V46" s="156">
        <f>IF(size&lt;=15,"#N/A",IF(OR('Area Calc for Velocity value'!$P$38=2,'Area Calc for Velocity value'!$P$38=4),"#N/A",IF(size&gt;200," #NA", S46)))</f>
        <v>0.29309760000000001</v>
      </c>
      <c r="W46" s="170">
        <f>IF('Area Calc for Velocity value'!$P$38=1,IF(size&gt;=25,IF(C46&gt;0.3,0.35,2/D46*100), " #NA"))</f>
        <v>1.1309760000000004</v>
      </c>
      <c r="X46" s="159">
        <f t="shared" si="8"/>
        <v>1.1309760000000004</v>
      </c>
      <c r="Z46" s="96">
        <f t="shared" si="9"/>
        <v>5</v>
      </c>
      <c r="AA46" s="104">
        <f>IF('Accuracy Statement'!$D$9&gt;10,"ERROR",J46)</f>
        <v>0.35</v>
      </c>
      <c r="AB46" s="1">
        <f>IF('Accuracy Statement'!$D$9&gt;10,"ERROR",N46)</f>
        <v>0.29309760000000001</v>
      </c>
      <c r="AC46" s="104">
        <f>IF('Accuracy Statement'!$D$9&gt;10,"ERROR",R46)</f>
        <v>0.3</v>
      </c>
      <c r="AD46" s="1">
        <f>IF('Accuracy Statement'!$D$9&gt;10,"ERROR",V46)</f>
        <v>0.29309760000000001</v>
      </c>
      <c r="AE46" s="104">
        <f>IF('Accuracy Statement'!$D$9&gt;10,"ERROR",X46)</f>
        <v>1.1309760000000004</v>
      </c>
      <c r="AF46" s="107">
        <f>IF('Accuracy Statement'!$D$9&gt;10,"ERROR",0.5+(1/D46*100))</f>
        <v>1.0654880000000002</v>
      </c>
      <c r="AG46" s="1">
        <f>IF('Accuracy Statement'!$D$9&gt;10,"ERROR",0.2+(2/D46*100))</f>
        <v>1.3309760000000004</v>
      </c>
      <c r="AH46" s="107">
        <f>IF('Accuracy Statement'!$D$9&gt;10,"ERROR",IF(C46&lt;2,0.25+1/D46*100,0.25+1.5/D46*100))</f>
        <v>0.81548800000000021</v>
      </c>
      <c r="AI46" s="1">
        <f>IF('Accuracy Statement'!$D$9&gt;10,"ERROR",IF($C46&lt;4,0.15+1/$D46*100,0.18))</f>
        <v>0.71548800000000023</v>
      </c>
      <c r="AJ46" s="110">
        <f>IF('Accuracy Statement'!$D$9&gt;10,"ERROR",0.3+1/D46*100)</f>
        <v>0.86548800000000026</v>
      </c>
      <c r="AK46" s="73">
        <f>IF('Accuracy Statement'!$D$9&gt;10,"ERROR",0.2+1/D46*100)</f>
        <v>0.76548800000000017</v>
      </c>
      <c r="AL46" s="110">
        <f>IF('Accuracy Statement'!$D$9&gt;10,"ERROR",0.3+(100*(0.0002*$AN$56)/(($C46/10)*$AN$56)))</f>
        <v>1.4309760000000002</v>
      </c>
      <c r="AM46" s="167">
        <f>IF('Accuracy Statement'!$D$9&gt;10,"ERROR",0.4+(100*(0.0002*$AN$56)/(($C46/10)*$AN$56)))</f>
        <v>1.5309760000000003</v>
      </c>
      <c r="AN46" s="110">
        <f>IF('Accuracy Statement'!$D$9&gt;10,"ERROR",0.2+(100*(0.0002*$AN$56)/(($C46/10)*$AN$56)))</f>
        <v>1.3309760000000002</v>
      </c>
      <c r="AO46" s="100">
        <f>IF('Accuracy Statement'!$D$9&gt;10,"ERROR",0.2+1/F46*100)</f>
        <v>285.91428571428571</v>
      </c>
      <c r="AP46" s="110">
        <f>IF('Accuracy Statement'!$D$9&gt;10,"ERROR",IF(C46&lt;0.25, 2.5/D46*100, 0.5+(1.25/D46)*100))</f>
        <v>1.4137200000000005</v>
      </c>
    </row>
    <row r="47" spans="2:42">
      <c r="B47" s="87">
        <v>4</v>
      </c>
      <c r="C47" s="2">
        <f t="shared" si="5"/>
        <v>0.14147072970602378</v>
      </c>
      <c r="D47" s="88">
        <f t="shared" si="6"/>
        <v>141.47072970602377</v>
      </c>
      <c r="E47" s="79" t="str">
        <f t="shared" si="0"/>
        <v xml:space="preserve">  #NA</v>
      </c>
      <c r="F47" s="31">
        <f>IF('Area Calc for Velocity value'!$P$38=1,IF(C47&gt;0.15,0.35,0.5/D47*100)," #NA")</f>
        <v>0.35343000000000013</v>
      </c>
      <c r="G47" s="31">
        <f t="shared" si="1"/>
        <v>0.35343000000000013</v>
      </c>
      <c r="H47" s="116">
        <f>IF(size=15,E47,IF('Area Calc for Velocity value'!$P$38=3,G47,F47))</f>
        <v>0.35343000000000013</v>
      </c>
      <c r="I47" s="31" t="str">
        <f>IF('Area Calc for Velocity value'!$P$38=2,IF(size&gt;=50,IF(C47&gt;0.3,0.35,1/D47*100), " #NA"),IF(AND('Area Calc for Velocity value'!$P$38=4,size&gt;=25),IF(C47&gt;0.3,0.35,1/D47*100),"#NA"))</f>
        <v>#NA</v>
      </c>
      <c r="J47" s="119">
        <f>IF(OR('Area Calc for Velocity value'!$P$38=3, 'Area Calc for Velocity value'!$P$38=1),H47,I47)</f>
        <v>0.35343000000000013</v>
      </c>
      <c r="K47" s="79">
        <f t="shared" si="7"/>
        <v>0.35343000000000013</v>
      </c>
      <c r="L47" s="77" t="e">
        <f>IF(AND(size&gt;=1,#REF!&gt;0.3),0.35,1/J47*100)</f>
        <v>#REF!</v>
      </c>
      <c r="M47" s="73" t="e">
        <f>IF(AND(size&gt;16,#REF!&gt;=1),0.35,IF(AND(size&gt;16,#REF!&gt;=0.3),(0.25+(1/J47*100)),1.75/J47*100))</f>
        <v>#REF!</v>
      </c>
      <c r="N47" s="156">
        <f>IF(size&lt;=15,"#N/A",IF(OR('Area Calc for Velocity value'!$P$38=2,'Area Calc for Velocity value'!$P$38=4),"#N/A",IF(size&gt;200," #NA", K47)))</f>
        <v>0.35343000000000013</v>
      </c>
      <c r="O47" s="78" t="str">
        <f t="shared" si="2"/>
        <v xml:space="preserve">  #NA</v>
      </c>
      <c r="P47" s="78">
        <f>IF('Area Calc for Velocity value'!$P$38=1,IF(C47&gt;0.15,0.3,0.5/D47*100)," #NA")</f>
        <v>0.35343000000000013</v>
      </c>
      <c r="Q47" s="78">
        <f t="shared" si="3"/>
        <v>0.35343000000000013</v>
      </c>
      <c r="R47" s="116">
        <f>IF(size=15,O47,IF('Area Calc for Velocity value'!$P$38=3,Q47,P47))</f>
        <v>0.35343000000000013</v>
      </c>
      <c r="S47" s="116">
        <f t="shared" si="4"/>
        <v>0.35343000000000013</v>
      </c>
      <c r="T47" s="77" t="e">
        <f>IF(AND(size&gt;=1,#REF!&gt;0.3),0.35,1/X47*100)</f>
        <v>#REF!</v>
      </c>
      <c r="U47" s="73" t="e">
        <f>IF(AND(size&gt;16,#REF!&gt;=1),0.35,IF(AND(size&gt;16,#REF!&gt;=0.3),(0.25+(1/X47*100)),1.75/X47*100))</f>
        <v>#REF!</v>
      </c>
      <c r="V47" s="156">
        <f>IF(size&lt;=15,"#N/A",IF(OR('Area Calc for Velocity value'!$P$38=2,'Area Calc for Velocity value'!$P$38=4),"#N/A",IF(size&gt;200," #NA", S47)))</f>
        <v>0.35343000000000013</v>
      </c>
      <c r="W47" s="170">
        <f>IF('Area Calc for Velocity value'!$P$38=1,IF(size&gt;=25,IF(C47&gt;0.3,0.35,2/D47*100), " #NA"))</f>
        <v>1.4137200000000005</v>
      </c>
      <c r="X47" s="159">
        <f t="shared" si="8"/>
        <v>1.4137200000000005</v>
      </c>
      <c r="Z47" s="96">
        <f t="shared" si="9"/>
        <v>4</v>
      </c>
      <c r="AA47" s="104">
        <f>IF('Accuracy Statement'!$D$9&gt;10,"ERROR",J47)</f>
        <v>0.35343000000000013</v>
      </c>
      <c r="AB47" s="1">
        <f>IF('Accuracy Statement'!$D$9&gt;10,"ERROR",N47)</f>
        <v>0.35343000000000013</v>
      </c>
      <c r="AC47" s="104">
        <f>IF('Accuracy Statement'!$D$9&gt;10,"ERROR",R47)</f>
        <v>0.35343000000000013</v>
      </c>
      <c r="AD47" s="1">
        <f>IF('Accuracy Statement'!$D$9&gt;10,"ERROR",V47)</f>
        <v>0.35343000000000013</v>
      </c>
      <c r="AE47" s="104">
        <f>IF('Accuracy Statement'!$D$9&gt;10,"ERROR",X47)</f>
        <v>1.4137200000000005</v>
      </c>
      <c r="AF47" s="107">
        <f>IF('Accuracy Statement'!$D$9&gt;10,"ERROR",0.5+(1/D47*100))</f>
        <v>1.2068600000000003</v>
      </c>
      <c r="AG47" s="1">
        <f>IF('Accuracy Statement'!$D$9&gt;10,"ERROR",0.2+(2/D47*100))</f>
        <v>1.6137200000000005</v>
      </c>
      <c r="AH47" s="107">
        <f>IF('Accuracy Statement'!$D$9&gt;10,"ERROR",IF(C47&lt;2,0.25+1/D47*100,0.25+1.5/D47*100))</f>
        <v>0.95686000000000027</v>
      </c>
      <c r="AI47" s="1">
        <f>IF('Accuracy Statement'!$D$9&gt;10,"ERROR",IF($C47&lt;4,0.15+1/$D47*100,0.18))</f>
        <v>0.85686000000000029</v>
      </c>
      <c r="AJ47" s="110">
        <f>IF('Accuracy Statement'!$D$9&gt;10,"ERROR",0.3+1/D47*100)</f>
        <v>1.0068600000000003</v>
      </c>
      <c r="AK47" s="73">
        <f>IF('Accuracy Statement'!$D$9&gt;10,"ERROR",0.2+1/D47*100)</f>
        <v>0.90686000000000022</v>
      </c>
      <c r="AL47" s="110">
        <f>IF('Accuracy Statement'!$D$9&gt;10,"ERROR",0.3+(100*(0.0002*$AN$56)/(($C47/10)*$AN$56)))</f>
        <v>1.7137200000000006</v>
      </c>
      <c r="AM47" s="167">
        <f>IF('Accuracy Statement'!$D$9&gt;10,"ERROR",0.4+(100*(0.0002*$AN$56)/(($C47/10)*$AN$56)))</f>
        <v>1.8137200000000004</v>
      </c>
      <c r="AN47" s="110">
        <f>IF('Accuracy Statement'!$D$9&gt;10,"ERROR",0.2+(100*(0.0002*$AN$56)/(($C47/10)*$AN$56)))</f>
        <v>1.6137200000000005</v>
      </c>
      <c r="AO47" s="100">
        <f>IF('Accuracy Statement'!$D$9&gt;10,"ERROR",0.2+1/F47*100)</f>
        <v>283.14145941204754</v>
      </c>
      <c r="AP47" s="110">
        <f>IF('Accuracy Statement'!$D$9&gt;10,"ERROR",IF(C47&lt;0.25, 2.5/D47*100, 0.5+(1.25/D47)*100))</f>
        <v>1.7671500000000007</v>
      </c>
    </row>
    <row r="48" spans="2:42">
      <c r="B48" s="87">
        <v>3</v>
      </c>
      <c r="C48" s="2">
        <f t="shared" si="5"/>
        <v>0.10610304727951783</v>
      </c>
      <c r="D48" s="88">
        <f t="shared" si="6"/>
        <v>106.10304727951784</v>
      </c>
      <c r="E48" s="79" t="str">
        <f t="shared" si="0"/>
        <v xml:space="preserve">  #NA</v>
      </c>
      <c r="F48" s="31">
        <f>IF('Area Calc for Velocity value'!$P$38=1,IF(C48&gt;0.15,0.35,0.5/D48*100)," #NA")</f>
        <v>0.4712400000000001</v>
      </c>
      <c r="G48" s="31">
        <f t="shared" si="1"/>
        <v>0.4712400000000001</v>
      </c>
      <c r="H48" s="116">
        <f>IF(size=15,E48,IF('Area Calc for Velocity value'!$P$38=3,G48,F48))</f>
        <v>0.4712400000000001</v>
      </c>
      <c r="I48" s="31" t="str">
        <f>IF('Area Calc for Velocity value'!$P$38=2,IF(size&gt;=50,IF(C48&gt;0.3,0.35,1/D48*100), " #NA"),IF(AND('Area Calc for Velocity value'!$P$38=4,size&gt;=25),IF(C48&gt;0.3,0.35,1/D48*100),"#NA"))</f>
        <v>#NA</v>
      </c>
      <c r="J48" s="119">
        <f>IF(OR('Area Calc for Velocity value'!$P$38=3, 'Area Calc for Velocity value'!$P$38=1),H48,I48)</f>
        <v>0.4712400000000001</v>
      </c>
      <c r="K48" s="79">
        <f t="shared" si="7"/>
        <v>0.4712400000000001</v>
      </c>
      <c r="L48" s="77" t="e">
        <f>IF(AND(size&gt;=1,#REF!&gt;0.3),0.35,1/J48*100)</f>
        <v>#REF!</v>
      </c>
      <c r="M48" s="73" t="e">
        <f>IF(AND(size&gt;16,#REF!&gt;=1),0.35,IF(AND(size&gt;16,#REF!&gt;=0.3),(0.25+(1/J48*100)),1.75/J48*100))</f>
        <v>#REF!</v>
      </c>
      <c r="N48" s="156">
        <f>IF(size&lt;=15,"#N/A",IF(OR('Area Calc for Velocity value'!$P$38=2,'Area Calc for Velocity value'!$P$38=4),"#N/A",IF(size&gt;200," #NA", K48)))</f>
        <v>0.4712400000000001</v>
      </c>
      <c r="O48" s="78" t="str">
        <f t="shared" si="2"/>
        <v xml:space="preserve">  #NA</v>
      </c>
      <c r="P48" s="78">
        <f>IF('Area Calc for Velocity value'!$P$38=1,IF(C48&gt;0.15,0.3,0.5/D48*100)," #NA")</f>
        <v>0.4712400000000001</v>
      </c>
      <c r="Q48" s="78">
        <f t="shared" si="3"/>
        <v>0.4712400000000001</v>
      </c>
      <c r="R48" s="116">
        <f>IF(size=15,O48,IF('Area Calc for Velocity value'!$P$38=3,Q48,P48))</f>
        <v>0.4712400000000001</v>
      </c>
      <c r="S48" s="116">
        <f t="shared" si="4"/>
        <v>0.4712400000000001</v>
      </c>
      <c r="T48" s="77" t="e">
        <f>IF(AND(size&gt;=1,#REF!&gt;0.3),0.35,1/X48*100)</f>
        <v>#REF!</v>
      </c>
      <c r="U48" s="73" t="e">
        <f>IF(AND(size&gt;16,#REF!&gt;=1),0.35,IF(AND(size&gt;16,#REF!&gt;=0.3),(0.25+(1/X48*100)),1.75/X48*100))</f>
        <v>#REF!</v>
      </c>
      <c r="V48" s="156">
        <f>IF(size&lt;=15,"#N/A",IF(OR('Area Calc for Velocity value'!$P$38=2,'Area Calc for Velocity value'!$P$38=4),"#N/A",IF(size&gt;200," #NA", S48)))</f>
        <v>0.4712400000000001</v>
      </c>
      <c r="W48" s="170">
        <f>IF('Area Calc for Velocity value'!$P$38=1,IF(size&gt;=25,IF(C48&gt;0.3,0.35,2/D48*100), " #NA"))</f>
        <v>1.8849600000000004</v>
      </c>
      <c r="X48" s="159">
        <f t="shared" si="8"/>
        <v>1.8849600000000004</v>
      </c>
      <c r="Z48" s="96">
        <f t="shared" si="9"/>
        <v>3</v>
      </c>
      <c r="AA48" s="104">
        <f>IF('Accuracy Statement'!$D$9&gt;10,"ERROR",J48)</f>
        <v>0.4712400000000001</v>
      </c>
      <c r="AB48" s="1">
        <f>IF('Accuracy Statement'!$D$9&gt;10,"ERROR",N48)</f>
        <v>0.4712400000000001</v>
      </c>
      <c r="AC48" s="104">
        <f>IF('Accuracy Statement'!$D$9&gt;10,"ERROR",R48)</f>
        <v>0.4712400000000001</v>
      </c>
      <c r="AD48" s="1">
        <f>IF('Accuracy Statement'!$D$9&gt;10,"ERROR",V48)</f>
        <v>0.4712400000000001</v>
      </c>
      <c r="AE48" s="104">
        <f>IF('Accuracy Statement'!$D$9&gt;10,"ERROR",X48)</f>
        <v>1.8849600000000004</v>
      </c>
      <c r="AF48" s="107">
        <f>IF('Accuracy Statement'!$D$9&gt;10,"ERROR",0.5+(1/D48*100))</f>
        <v>1.4424800000000002</v>
      </c>
      <c r="AG48" s="1">
        <f>IF('Accuracy Statement'!$D$9&gt;10,"ERROR",0.2+(2/D48*100))</f>
        <v>2.0849600000000006</v>
      </c>
      <c r="AH48" s="107">
        <f>IF('Accuracy Statement'!$D$9&gt;10,"ERROR",IF(C48&lt;2,0.25+1/D48*100,0.25+1.5/D48*100))</f>
        <v>1.1924800000000002</v>
      </c>
      <c r="AI48" s="1">
        <f>IF('Accuracy Statement'!$D$9&gt;10,"ERROR",IF($C48&lt;4,0.15+1/$D48*100,0.18))</f>
        <v>1.0924800000000001</v>
      </c>
      <c r="AJ48" s="110">
        <f>IF('Accuracy Statement'!$D$9&gt;10,"ERROR",0.3+1/D48*100)</f>
        <v>1.2424800000000003</v>
      </c>
      <c r="AK48" s="73">
        <f>IF('Accuracy Statement'!$D$9&gt;10,"ERROR",0.2+1/D48*100)</f>
        <v>1.1424800000000002</v>
      </c>
      <c r="AL48" s="110">
        <f>IF('Accuracy Statement'!$D$9&gt;10,"ERROR",0.3+(100*(0.0002*$AN$56)/(($C48/10)*$AN$56)))</f>
        <v>2.1849600000000002</v>
      </c>
      <c r="AM48" s="167">
        <f>IF('Accuracy Statement'!$D$9&gt;10,"ERROR",0.4+(100*(0.0002*$AN$56)/(($C48/10)*$AN$56)))</f>
        <v>2.2849600000000003</v>
      </c>
      <c r="AN48" s="110">
        <f>IF('Accuracy Statement'!$D$9&gt;10,"ERROR",0.2+(100*(0.0002*$AN$56)/(($C48/10)*$AN$56)))</f>
        <v>2.0849600000000006</v>
      </c>
      <c r="AO48" s="100">
        <f>IF('Accuracy Statement'!$D$9&gt;10,"ERROR",0.2+1/F48*100)</f>
        <v>212.40609455903569</v>
      </c>
      <c r="AP48" s="110">
        <f>IF('Accuracy Statement'!$D$9&gt;10,"ERROR",IF(C48&lt;0.25, 2.5/D48*100, 0.5+(1.25/D48)*100))</f>
        <v>2.3562000000000007</v>
      </c>
    </row>
    <row r="49" spans="2:42">
      <c r="B49" s="87">
        <v>2</v>
      </c>
      <c r="C49" s="2">
        <f t="shared" si="5"/>
        <v>7.0735364853011892E-2</v>
      </c>
      <c r="D49" s="88">
        <f t="shared" si="6"/>
        <v>70.735364853011887</v>
      </c>
      <c r="E49" s="79" t="str">
        <f t="shared" si="0"/>
        <v xml:space="preserve">  #NA</v>
      </c>
      <c r="F49" s="31">
        <f>IF('Area Calc for Velocity value'!$P$38=1,IF(C49&gt;0.15,0.35,0.5/D49*100)," #NA")</f>
        <v>0.70686000000000027</v>
      </c>
      <c r="G49" s="31">
        <f t="shared" si="1"/>
        <v>0.70686000000000027</v>
      </c>
      <c r="H49" s="116">
        <f>IF(size=15,E49,IF('Area Calc for Velocity value'!$P$38=3,G49,F49))</f>
        <v>0.70686000000000027</v>
      </c>
      <c r="I49" s="31" t="str">
        <f>IF('Area Calc for Velocity value'!$P$38=2,IF(size&gt;=50,IF(C49&gt;0.3,0.35,1/D49*100), " #NA"),IF(AND('Area Calc for Velocity value'!$P$38=4,size&gt;=25),IF(C49&gt;0.3,0.35,1/D49*100),"#NA"))</f>
        <v>#NA</v>
      </c>
      <c r="J49" s="119">
        <f>IF(OR('Area Calc for Velocity value'!$P$38=3, 'Area Calc for Velocity value'!$P$38=1),H49,I49)</f>
        <v>0.70686000000000027</v>
      </c>
      <c r="K49" s="79">
        <f t="shared" si="7"/>
        <v>0.70686000000000027</v>
      </c>
      <c r="L49" s="77" t="e">
        <f>IF(AND(size&gt;=1,#REF!&gt;0.3),0.35,1/J49*100)</f>
        <v>#REF!</v>
      </c>
      <c r="M49" s="73" t="e">
        <f>IF(AND(size&gt;16,#REF!&gt;=1),0.35,IF(AND(size&gt;16,#REF!&gt;=0.3),(0.25+(1/J49*100)),1.75/J49*100))</f>
        <v>#REF!</v>
      </c>
      <c r="N49" s="156">
        <f>IF(size&lt;=15,"#N/A",IF(OR('Area Calc for Velocity value'!$P$38=2,'Area Calc for Velocity value'!$P$38=4),"#N/A",IF(size&gt;200," #NA", K49)))</f>
        <v>0.70686000000000027</v>
      </c>
      <c r="O49" s="78" t="str">
        <f t="shared" si="2"/>
        <v xml:space="preserve">  #NA</v>
      </c>
      <c r="P49" s="78">
        <f>IF('Area Calc for Velocity value'!$P$38=1,IF(C49&gt;0.15,0.3,0.5/D49*100)," #NA")</f>
        <v>0.70686000000000027</v>
      </c>
      <c r="Q49" s="78">
        <f t="shared" si="3"/>
        <v>0.70686000000000027</v>
      </c>
      <c r="R49" s="116">
        <f>IF(size=15,O49,IF('Area Calc for Velocity value'!$P$38=3,Q49,P49))</f>
        <v>0.70686000000000027</v>
      </c>
      <c r="S49" s="116">
        <f t="shared" si="4"/>
        <v>0.70686000000000027</v>
      </c>
      <c r="T49" s="77" t="e">
        <f>IF(AND(size&gt;=1,#REF!&gt;0.3),0.35,1/X49*100)</f>
        <v>#REF!</v>
      </c>
      <c r="U49" s="73" t="e">
        <f>IF(AND(size&gt;16,#REF!&gt;=1),0.35,IF(AND(size&gt;16,#REF!&gt;=0.3),(0.25+(1/X49*100)),1.75/X49*100))</f>
        <v>#REF!</v>
      </c>
      <c r="V49" s="156">
        <f>IF(size&lt;=15,"#N/A",IF(OR('Area Calc for Velocity value'!$P$38=2,'Area Calc for Velocity value'!$P$38=4),"#N/A",IF(size&gt;200," #NA", S49)))</f>
        <v>0.70686000000000027</v>
      </c>
      <c r="W49" s="170">
        <f>IF('Area Calc for Velocity value'!$P$38=1,IF(size&gt;=25,IF(C49&gt;0.3,0.35,2/D49*100), " #NA"))</f>
        <v>2.8274400000000011</v>
      </c>
      <c r="X49" s="159">
        <f t="shared" si="8"/>
        <v>2.8274400000000011</v>
      </c>
      <c r="Z49" s="96">
        <f t="shared" si="9"/>
        <v>2</v>
      </c>
      <c r="AA49" s="104">
        <f>IF('Accuracy Statement'!$D$9&gt;10,"ERROR",J49)</f>
        <v>0.70686000000000027</v>
      </c>
      <c r="AB49" s="1">
        <f>IF('Accuracy Statement'!$D$9&gt;10,"ERROR",N49)</f>
        <v>0.70686000000000027</v>
      </c>
      <c r="AC49" s="104">
        <f>IF('Accuracy Statement'!$D$9&gt;10,"ERROR",R49)</f>
        <v>0.70686000000000027</v>
      </c>
      <c r="AD49" s="1">
        <f>IF('Accuracy Statement'!$D$9&gt;10,"ERROR",V49)</f>
        <v>0.70686000000000027</v>
      </c>
      <c r="AE49" s="104">
        <f>IF('Accuracy Statement'!$D$9&gt;10,"ERROR",X49)</f>
        <v>2.8274400000000011</v>
      </c>
      <c r="AF49" s="107">
        <f>IF('Accuracy Statement'!$D$9&gt;10,"ERROR",0.5+(1/D49*100))</f>
        <v>1.9137200000000005</v>
      </c>
      <c r="AG49" s="1">
        <f>IF('Accuracy Statement'!$D$9&gt;10,"ERROR",0.2+(2/D49*100))</f>
        <v>3.0274400000000012</v>
      </c>
      <c r="AH49" s="107">
        <f>IF('Accuracy Statement'!$D$9&gt;10,"ERROR",IF(C49&lt;2,0.25+1/D49*100,0.25+1.5/D49*100))</f>
        <v>1.6637200000000005</v>
      </c>
      <c r="AI49" s="1">
        <f>IF('Accuracy Statement'!$D$9&gt;10,"ERROR",IF($C49&lt;4,0.15+1/$D49*100,0.18))</f>
        <v>1.5637200000000004</v>
      </c>
      <c r="AJ49" s="110">
        <f>IF('Accuracy Statement'!$D$9&gt;10,"ERROR",0.3+1/D49*100)</f>
        <v>1.7137200000000006</v>
      </c>
      <c r="AK49" s="73">
        <f>IF('Accuracy Statement'!$D$9&gt;10,"ERROR",0.2+1/D49*100)</f>
        <v>1.6137200000000005</v>
      </c>
      <c r="AL49" s="110">
        <f>IF('Accuracy Statement'!$D$9&gt;10,"ERROR",0.3+(100*(0.0002*$AN$56)/(($C49/10)*$AN$56)))</f>
        <v>3.1274400000000009</v>
      </c>
      <c r="AM49" s="167">
        <f>IF('Accuracy Statement'!$D$9&gt;10,"ERROR",0.4+(100*(0.0002*$AN$56)/(($C49/10)*$AN$56)))</f>
        <v>3.227440000000001</v>
      </c>
      <c r="AN49" s="110">
        <f>IF('Accuracy Statement'!$D$9&gt;10,"ERROR",0.2+(100*(0.0002*$AN$56)/(($C49/10)*$AN$56)))</f>
        <v>3.0274400000000012</v>
      </c>
      <c r="AO49" s="100">
        <f>IF('Accuracy Statement'!$D$9&gt;10,"ERROR",0.2+1/F49*100)</f>
        <v>141.67072970602376</v>
      </c>
      <c r="AP49" s="110">
        <f>IF('Accuracy Statement'!$D$9&gt;10,"ERROR",IF(C49&lt;0.25, 2.5/D49*100, 0.5+(1.25/D49)*100))</f>
        <v>3.5343000000000013</v>
      </c>
    </row>
    <row r="50" spans="2:42" ht="13.5" thickBot="1">
      <c r="B50" s="89">
        <v>1</v>
      </c>
      <c r="C50" s="90">
        <f t="shared" si="5"/>
        <v>3.5367682426505946E-2</v>
      </c>
      <c r="D50" s="91">
        <f t="shared" si="6"/>
        <v>35.367682426505944</v>
      </c>
      <c r="E50" s="80" t="str">
        <f t="shared" si="0"/>
        <v xml:space="preserve">  #NA</v>
      </c>
      <c r="F50" s="32">
        <f>IF('Area Calc for Velocity value'!$P$38=1,IF(C50&gt;0.15,0.35,0.5/D50*100)," #NA")</f>
        <v>1.4137200000000005</v>
      </c>
      <c r="G50" s="32">
        <f t="shared" si="1"/>
        <v>1.4137200000000005</v>
      </c>
      <c r="H50" s="117">
        <f>IF(size=15,E50,IF('Area Calc for Velocity value'!$P$38=3,G50,F50))</f>
        <v>1.4137200000000005</v>
      </c>
      <c r="I50" s="32" t="str">
        <f>IF('Area Calc for Velocity value'!$P$38=2,IF(size&gt;=50,IF(C50&gt;0.3,0.35,1/D50*100), " #NA"),IF(AND('Area Calc for Velocity value'!$P$38=4,size&gt;=25),IF(C50&gt;0.3,0.35,1/D50*100),"#NA"))</f>
        <v>#NA</v>
      </c>
      <c r="J50" s="120">
        <f>IF(OR('Area Calc for Velocity value'!$P$38=3, 'Area Calc for Velocity value'!$P$38=1),H50,I50)</f>
        <v>1.4137200000000005</v>
      </c>
      <c r="K50" s="80">
        <f t="shared" si="7"/>
        <v>1.4137200000000005</v>
      </c>
      <c r="L50" s="77" t="e">
        <f>IF(AND(size&gt;=1,#REF!&gt;0.3),0.35,1/J50*100)</f>
        <v>#REF!</v>
      </c>
      <c r="M50" s="73" t="e">
        <f>IF(AND(size&gt;16,#REF!&gt;=1),0.35,IF(AND(size&gt;16,#REF!&gt;=0.3),(0.25+(1/J50*100)),1.75/J50*100))</f>
        <v>#REF!</v>
      </c>
      <c r="N50" s="157">
        <f>IF(size&lt;=15,"#N/A",IF(OR('Area Calc for Velocity value'!$P$38=2,'Area Calc for Velocity value'!$P$38=4),"#N/A",IF(size&gt;200," #NA", K50)))</f>
        <v>1.4137200000000005</v>
      </c>
      <c r="O50" s="78" t="str">
        <f t="shared" si="2"/>
        <v xml:space="preserve">  #NA</v>
      </c>
      <c r="P50" s="78">
        <f>IF('Area Calc for Velocity value'!$P$38=1,IF(C50&gt;0.15,0.3,0.5/D50*100)," #NA")</f>
        <v>1.4137200000000005</v>
      </c>
      <c r="Q50" s="78">
        <f t="shared" si="3"/>
        <v>1.4137200000000005</v>
      </c>
      <c r="R50" s="117">
        <f>IF(size=15,O50,IF('Area Calc for Velocity value'!$P$38=3,Q50,P50))</f>
        <v>1.4137200000000005</v>
      </c>
      <c r="S50" s="116">
        <f t="shared" si="4"/>
        <v>1.4137200000000005</v>
      </c>
      <c r="T50" s="77" t="e">
        <f>IF(AND(size&gt;=1,#REF!&gt;0.3),0.35,1/X50*100)</f>
        <v>#REF!</v>
      </c>
      <c r="U50" s="73" t="e">
        <f>IF(AND(size&gt;16,#REF!&gt;=1),0.35,IF(AND(size&gt;16,#REF!&gt;=0.3),(0.25+(1/X50*100)),1.75/X50*100))</f>
        <v>#REF!</v>
      </c>
      <c r="V50" s="157">
        <f>IF(size&lt;=15,"#N/A",IF(OR('Area Calc for Velocity value'!$P$38=2,'Area Calc for Velocity value'!$P$38=4),"#N/A",IF(size&gt;200," #NA", S50)))</f>
        <v>1.4137200000000005</v>
      </c>
      <c r="W50" s="170">
        <f>IF('Area Calc for Velocity value'!$P$38=1,IF(size&gt;=25,IF(C50&gt;0.3,0.35,2/D50*100), " #NA"))</f>
        <v>5.6548800000000021</v>
      </c>
      <c r="X50" s="159">
        <f t="shared" si="8"/>
        <v>5.6548800000000021</v>
      </c>
      <c r="Z50" s="97">
        <f t="shared" si="9"/>
        <v>1</v>
      </c>
      <c r="AA50" s="105">
        <f>IF('Accuracy Statement'!$D$9&gt;10,"ERROR",J50)</f>
        <v>1.4137200000000005</v>
      </c>
      <c r="AB50" s="101">
        <f>IF('Accuracy Statement'!$D$9&gt;10,"ERROR",N50)</f>
        <v>1.4137200000000005</v>
      </c>
      <c r="AC50" s="104">
        <f>IF('Accuracy Statement'!$D$9&gt;10,"ERROR",R50)</f>
        <v>1.4137200000000005</v>
      </c>
      <c r="AD50" s="1">
        <f>IF('Accuracy Statement'!$D$9&gt;10,"ERROR",V50)</f>
        <v>1.4137200000000005</v>
      </c>
      <c r="AE50" s="104">
        <f>IF('Accuracy Statement'!$D$9&gt;10,"ERROR",X50)</f>
        <v>5.6548800000000021</v>
      </c>
      <c r="AF50" s="108">
        <f>IF('Accuracy Statement'!$D$9&gt;10,"ERROR",0.5+(1/D50*100))</f>
        <v>3.3274400000000011</v>
      </c>
      <c r="AG50" s="101">
        <f>IF('Accuracy Statement'!$D$9&gt;10,"ERROR",0.2+(2/D50*100))</f>
        <v>5.8548800000000023</v>
      </c>
      <c r="AH50" s="108">
        <f>IF('Accuracy Statement'!$D$9&gt;10,"ERROR",IF(C50&lt;2,0.25+1/D50*100,0.25+1.5/D50*100))</f>
        <v>3.0774400000000011</v>
      </c>
      <c r="AI50" s="101">
        <f>IF('Accuracy Statement'!$D$9&gt;10,"ERROR",IF($C50&lt;4,0.15+1/$D50*100,0.18))</f>
        <v>2.977440000000001</v>
      </c>
      <c r="AJ50" s="111">
        <f>IF('Accuracy Statement'!$D$9&gt;10,"ERROR",0.3+1/D50*100)</f>
        <v>3.1274400000000009</v>
      </c>
      <c r="AK50" s="161">
        <f>IF('Accuracy Statement'!$D$9&gt;10,"ERROR",0.2+1/D50*100)</f>
        <v>3.0274400000000012</v>
      </c>
      <c r="AL50" s="110">
        <f>IF('Accuracy Statement'!$D$9&gt;10,"ERROR",0.3+(100*(0.0002*$AN$56)/(($C50/10)*$AN$56)))</f>
        <v>5.9548800000000019</v>
      </c>
      <c r="AM50" s="167">
        <f>IF('Accuracy Statement'!$D$9&gt;10,"ERROR",0.4+(100*(0.0002*$AN$56)/(($C50/10)*$AN$56)))</f>
        <v>6.0548800000000025</v>
      </c>
      <c r="AN50" s="110">
        <f>IF('Accuracy Statement'!$D$9&gt;10,"ERROR",0.2+(100*(0.0002*$AN$56)/(($C50/10)*$AN$56)))</f>
        <v>5.8548800000000023</v>
      </c>
      <c r="AO50" s="102">
        <f>IF('Accuracy Statement'!$D$9&gt;10,"ERROR",0.2+1/F50*100)</f>
        <v>70.93536485301189</v>
      </c>
      <c r="AP50" s="111">
        <f>IF('Accuracy Statement'!$D$9&gt;10,"ERROR",IF(C50&lt;0.25, 2.5/D50*100, 0.5+(1.25/D50)*100))</f>
        <v>7.0686000000000027</v>
      </c>
    </row>
    <row r="51" spans="2:42">
      <c r="Z51" s="93">
        <f>B51/100</f>
        <v>0</v>
      </c>
      <c r="AA51" s="71"/>
      <c r="AB51" s="71"/>
      <c r="AC51" s="71"/>
      <c r="AD51" s="71"/>
      <c r="AE51" s="71"/>
      <c r="AF51" s="71"/>
      <c r="AG51" s="71"/>
      <c r="AH51" s="70"/>
      <c r="AI51" s="70"/>
      <c r="AJ51" s="70"/>
      <c r="AK51" s="70"/>
      <c r="AL51" s="70"/>
      <c r="AM51" s="70"/>
      <c r="AN51" s="70"/>
      <c r="AO51" s="70"/>
      <c r="AP51" s="70"/>
    </row>
    <row r="52" spans="2:42">
      <c r="I52" s="39"/>
      <c r="W52" s="39"/>
    </row>
    <row r="55" spans="2:42" ht="13.5" thickBot="1"/>
    <row r="56" spans="2:42" ht="13.5" thickBot="1">
      <c r="AM56" t="s">
        <v>94</v>
      </c>
      <c r="AN56" s="166">
        <f>VLOOKUP(size,'Area Calc for Velocity value'!E68:F83,2)</f>
        <v>60</v>
      </c>
    </row>
    <row r="59" spans="2:42">
      <c r="AN59">
        <f>(0.0002*$AN$56)</f>
        <v>1.2E-2</v>
      </c>
    </row>
    <row r="60" spans="2:42">
      <c r="AN60">
        <f>($C50/10)*$AN$56</f>
        <v>0.21220609455903566</v>
      </c>
    </row>
    <row r="61" spans="2:42">
      <c r="AN61" s="169">
        <f>C50*240/10</f>
        <v>0.84882437823614276</v>
      </c>
    </row>
    <row r="62" spans="2:42" ht="14.25">
      <c r="AM62" s="163"/>
      <c r="AN62" s="163"/>
      <c r="AO62" s="164"/>
    </row>
    <row r="63" spans="2:42">
      <c r="AM63" s="165"/>
      <c r="AN63" s="165">
        <f>AN59/AN61*100</f>
        <v>1.4137200000000003</v>
      </c>
      <c r="AO63" s="164"/>
    </row>
    <row r="64" spans="2:42">
      <c r="AM64" s="165"/>
      <c r="AN64" s="165"/>
      <c r="AO64" s="164"/>
    </row>
    <row r="65" spans="39:41">
      <c r="AM65" s="165"/>
      <c r="AN65" s="165"/>
      <c r="AO65" s="164"/>
    </row>
    <row r="66" spans="39:41">
      <c r="AM66" s="165"/>
      <c r="AN66" s="165"/>
      <c r="AO66" s="164"/>
    </row>
    <row r="67" spans="39:41">
      <c r="AM67" s="165"/>
      <c r="AN67" s="165"/>
      <c r="AO67" s="164"/>
    </row>
    <row r="68" spans="39:41">
      <c r="AM68" s="165"/>
      <c r="AN68" s="165"/>
      <c r="AO68" s="164"/>
    </row>
    <row r="69" spans="39:41">
      <c r="AM69" s="165"/>
      <c r="AN69" s="165"/>
      <c r="AO69" s="164"/>
    </row>
    <row r="70" spans="39:41">
      <c r="AM70" s="165"/>
      <c r="AN70" s="165"/>
      <c r="AO70" s="164"/>
    </row>
    <row r="71" spans="39:41">
      <c r="AM71" s="165"/>
      <c r="AN71" s="165"/>
      <c r="AO71" s="164"/>
    </row>
    <row r="72" spans="39:41">
      <c r="AM72" s="165"/>
      <c r="AN72" s="165"/>
      <c r="AO72" s="164"/>
    </row>
    <row r="73" spans="39:41">
      <c r="AM73" s="165"/>
      <c r="AN73" s="165"/>
      <c r="AO73" s="164"/>
    </row>
    <row r="74" spans="39:41">
      <c r="AM74" s="165"/>
      <c r="AN74" s="165"/>
      <c r="AO74" s="164"/>
    </row>
    <row r="75" spans="39:41">
      <c r="AM75" s="165"/>
      <c r="AN75" s="165"/>
      <c r="AO75" s="164"/>
    </row>
    <row r="76" spans="39:41">
      <c r="AM76" s="165"/>
      <c r="AN76" s="165"/>
      <c r="AO76" s="164"/>
    </row>
    <row r="77" spans="39:41">
      <c r="AM77" s="165"/>
      <c r="AN77" s="165"/>
      <c r="AO77" s="164"/>
    </row>
  </sheetData>
  <customSheetViews>
    <customSheetView guid="{D077CF75-1ABC-4168-8431-707ED1B23269}" state="hidden" showRuler="0" topLeftCell="A4">
      <selection activeCell="H19" sqref="H19"/>
      <pageMargins left="0.75" right="0.75" top="1" bottom="1" header="0.5" footer="0.5"/>
      <headerFooter alignWithMargins="0"/>
    </customSheetView>
  </customSheetViews>
  <mergeCells count="5">
    <mergeCell ref="W2:X2"/>
    <mergeCell ref="E2:J2"/>
    <mergeCell ref="K2:N2"/>
    <mergeCell ref="S2:V2"/>
    <mergeCell ref="O2:R2"/>
  </mergeCells>
  <phoneticPr fontId="3" type="noConversion"/>
  <pageMargins left="0.75" right="0.75" top="1" bottom="1" header="0.5" footer="0.5"/>
  <pageSetup orientation="portrait" r:id="rId1"/>
  <headerFooter alignWithMargins="0"/>
  <ignoredErrors>
    <ignoredError sqref="AC5 AC6:AC50 AK6:AK50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44D7D258A135F148BEB2D19AFB08B430003C48F13D0B03D54F91233E6293D0A461" ma:contentTypeVersion="12" ma:contentTypeDescription="Create a new document." ma:contentTypeScope="" ma:versionID="8847e99964fe2f2f7de334bc4529ee28">
  <xsd:schema xmlns:xsd="http://www.w3.org/2001/XMLSchema" xmlns:xs="http://www.w3.org/2001/XMLSchema" xmlns:p="http://schemas.microsoft.com/office/2006/metadata/properties" xmlns:ns2="efb43a13-a865-40c9-8f81-00b74718f17a" targetNamespace="http://schemas.microsoft.com/office/2006/metadata/properties" ma:root="true" ma:fieldsID="f100543e35ca98070bae905bbd520a13" ns2:_="">
    <xsd:import namespace="efb43a13-a865-40c9-8f81-00b74718f17a"/>
    <xsd:element name="properties">
      <xsd:complexType>
        <xsd:sequence>
          <xsd:element name="documentManagement">
            <xsd:complexType>
              <xsd:all>
                <xsd:element ref="ns2:Division" minOccurs="0"/>
                <xsd:element ref="ns2:Document_x0020_type"/>
                <xsd:element ref="ns2:Ver." minOccurs="0"/>
                <xsd:element ref="ns2:Lang" minOccurs="0"/>
                <xsd:element ref="ns2:Published_x0020_on"/>
                <xsd:element ref="ns2:Provided_x0020_by" minOccurs="0"/>
                <xsd:element ref="ns2:Update_x0020_listing" minOccurs="0"/>
                <xsd:element ref="ns2:Target_x0020_audience" minOccurs="0"/>
                <xsd:element ref="ns2:Solution_x0020_package" minOccurs="0"/>
                <xsd:element ref="ns2:Approvals" minOccurs="0"/>
                <xsd:element ref="ns2:Approval_x0020_type" minOccurs="0"/>
                <xsd:element ref="ns2:Communication" minOccurs="0"/>
                <xsd:element ref="ns2:Notes1" minOccurs="0"/>
                <xsd:element ref="ns2:Remarks" minOccurs="0"/>
                <xsd:element ref="ns2:ProductTaxHTField0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b43a13-a865-40c9-8f81-00b74718f17a" elementFormDefault="qualified">
    <xsd:import namespace="http://schemas.microsoft.com/office/2006/documentManagement/types"/>
    <xsd:import namespace="http://schemas.microsoft.com/office/infopath/2007/PartnerControls"/>
    <xsd:element name="Division" ma:index="2" nillable="true" ma:displayName="Division" ma:internalName="Division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Field"/>
                    <xsd:enumeration value="Analytical"/>
                    <xsd:enumeration value="Control"/>
                  </xsd:restriction>
                </xsd:simpleType>
              </xsd:element>
            </xsd:sequence>
          </xsd:extension>
        </xsd:complexContent>
      </xsd:complexType>
    </xsd:element>
    <xsd:element name="Document_x0020_type" ma:index="4" ma:displayName="Document type" ma:format="Dropdown" ma:internalName="Document_x0020_type" ma:readOnly="false">
      <xsd:simpleType>
        <xsd:restriction base="dms:Choice">
          <xsd:enumeration value="01. Presentation"/>
          <xsd:enumeration value="02. Training"/>
          <xsd:enumeration value="03. Bulletin"/>
          <xsd:enumeration value="04. GS"/>
          <xsd:enumeration value="05. TI"/>
          <xsd:enumeration value="06. IM"/>
          <xsd:enumeration value="07. Sale News"/>
          <xsd:enumeration value="08. Technical documents"/>
          <xsd:enumeration value="09. Certificates"/>
          <xsd:enumeration value="10. Competitor info"/>
          <xsd:enumeration value="11. One point"/>
          <xsd:enumeration value="12. MSDS"/>
          <xsd:enumeration value="13. Principle"/>
          <xsd:enumeration value="14. Worksheet"/>
          <xsd:enumeration value="15. QMS"/>
          <xsd:enumeration value="16. Validation document"/>
          <xsd:enumeration value="17. Test report"/>
          <xsd:enumeration value="99. Others"/>
        </xsd:restriction>
      </xsd:simpleType>
    </xsd:element>
    <xsd:element name="Ver." ma:index="5" nillable="true" ma:displayName="Ver." ma:internalName="Ver_x002e_">
      <xsd:simpleType>
        <xsd:restriction base="dms:Text">
          <xsd:maxLength value="255"/>
        </xsd:restriction>
      </xsd:simpleType>
    </xsd:element>
    <xsd:element name="Lang" ma:index="6" nillable="true" ma:displayName="Lang" ma:default="English" ma:internalName="Lang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nglish"/>
                    <xsd:enumeration value="Japanese"/>
                    <xsd:enumeration value="Chinese"/>
                    <xsd:enumeration value="Korean"/>
                    <xsd:enumeration value="French"/>
                    <xsd:enumeration value="German"/>
                    <xsd:enumeration value="Spanish"/>
                    <xsd:enumeration value="Italian"/>
                    <xsd:enumeration value="Russian"/>
                    <xsd:enumeration value="Portuguese"/>
                  </xsd:restriction>
                </xsd:simpleType>
              </xsd:element>
            </xsd:sequence>
          </xsd:extension>
        </xsd:complexContent>
      </xsd:complexType>
    </xsd:element>
    <xsd:element name="Published_x0020_on" ma:index="7" ma:displayName="Published on" ma:default="[today]" ma:format="DateOnly" ma:internalName="Published_x0020_on" ma:readOnly="false">
      <xsd:simpleType>
        <xsd:restriction base="dms:DateTime"/>
      </xsd:simpleType>
    </xsd:element>
    <xsd:element name="Provided_x0020_by" ma:index="8" nillable="true" ma:displayName="Provided by" ma:default="YHQ" ma:format="Dropdown" ma:internalName="Provided_x0020_by">
      <xsd:simpleType>
        <xsd:restriction base="dms:Choice">
          <xsd:enumeration value="YHQ"/>
          <xsd:enumeration value="YCA"/>
          <xsd:enumeration value="YEF"/>
          <xsd:enumeration value="YEA"/>
          <xsd:enumeration value="YSA"/>
          <xsd:enumeration value="YCN"/>
          <xsd:enumeration value="YSH"/>
          <xsd:enumeration value="YTW"/>
          <xsd:enumeration value="YKO"/>
          <xsd:enumeration value="YIK"/>
          <xsd:enumeration value="YMA"/>
          <xsd:enumeration value="YME"/>
          <xsd:enumeration value="YAU"/>
          <xsd:enumeration value="YAU-NZ"/>
          <xsd:enumeration value="YIN"/>
          <xsd:enumeration value="YPI"/>
          <xsd:enumeration value="YPA"/>
          <xsd:enumeration value="YRU"/>
          <xsd:enumeration value="YTH"/>
          <xsd:enumeration value="YEM"/>
          <xsd:enumeration value="YIL"/>
          <xsd:enumeration value="YEF-GB"/>
          <xsd:enumeration value="YEF-G"/>
          <xsd:enumeration value="YEF-F"/>
          <xsd:enumeration value="YEF-I"/>
          <xsd:enumeration value="YEF-E"/>
          <xsd:enumeration value="YEF-A"/>
          <xsd:enumeration value="YEF-B"/>
          <xsd:enumeration value="YEF-HU"/>
          <xsd:enumeration value="Kaizer"/>
        </xsd:restriction>
      </xsd:simpleType>
    </xsd:element>
    <xsd:element name="Update_x0020_listing" ma:index="9" nillable="true" ma:displayName="Update listing" ma:default="1" ma:internalName="Update_x0020_listing">
      <xsd:simpleType>
        <xsd:restriction base="dms:Boolean"/>
      </xsd:simpleType>
    </xsd:element>
    <xsd:element name="Target_x0020_audience" ma:index="10" nillable="true" ma:displayName="Target audience" ma:internalName="Target_x0020_audien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General"/>
                    <xsd:enumeration value="Management"/>
                    <xsd:enumeration value="Engineer"/>
                    <xsd:enumeration value="Internal"/>
                  </xsd:restriction>
                </xsd:simpleType>
              </xsd:element>
            </xsd:sequence>
          </xsd:extension>
        </xsd:complexContent>
      </xsd:complexType>
    </xsd:element>
    <xsd:element name="Solution_x0020_package" ma:index="11" nillable="true" ma:displayName="Solution package" ma:internalName="Solution_x0020_packag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Pharp Promotion"/>
                    <xsd:enumeration value="BEAT Emerson"/>
                    <xsd:enumeration value="1151 replacement"/>
                    <xsd:enumeration value="Safety"/>
                    <xsd:enumeration value="Impulse-lineless"/>
                    <xsd:enumeration value="Magmeters handbook"/>
                    <xsd:enumeration value="AXR"/>
                    <xsd:enumeration value="DY/Z ANSI Class 1500 Flange Type"/>
                    <xsd:enumeration value="Mining"/>
                    <xsd:enumeration value="Pulp &amp; Paper"/>
                    <xsd:enumeration value="Interoperability"/>
                    <xsd:enumeration value="FF"/>
                    <xsd:enumeration value="GVP materials"/>
                    <xsd:enumeration value="Nadcap"/>
                    <xsd:enumeration value="IPBM 2014"/>
                    <xsd:enumeration value="CIB GVP"/>
                    <xsd:enumeration value="SENCOM"/>
                    <xsd:enumeration value="IPBM 2016"/>
                    <xsd:enumeration value="CIB Application Contest 2016"/>
                    <xsd:enumeration value="SMARTDAC R4"/>
                    <xsd:enumeration value="MRO Replacement Proposal"/>
                    <xsd:enumeration value="NSGSM2017"/>
                    <xsd:enumeration value="NSGSM2018"/>
                  </xsd:restriction>
                </xsd:simpleType>
              </xsd:element>
            </xsd:sequence>
          </xsd:extension>
        </xsd:complexContent>
      </xsd:complexType>
    </xsd:element>
    <xsd:element name="Approvals" ma:index="12" nillable="true" ma:displayName="Approvals" ma:format="Dropdown" ma:internalName="Approvals">
      <xsd:simpleType>
        <xsd:restriction base="dms:Choice">
          <xsd:enumeration value="TIIS"/>
          <xsd:enumeration value="ATEX"/>
          <xsd:enumeration value="FM"/>
          <xsd:enumeration value="CSA"/>
          <xsd:enumeration value="IECEX"/>
          <xsd:enumeration value="NEPSI"/>
          <xsd:enumeration value="INMETRO"/>
          <xsd:enumeration value="GOST"/>
          <xsd:enumeration value="KOSHA"/>
          <xsd:enumeration value="Safety"/>
          <xsd:enumeration value="CCC"/>
          <xsd:enumeration value="LIoyd's"/>
          <xsd:enumeration value="BUREAU VERITAS MARINE"/>
          <xsd:enumeration value="DET NORSKE VERITAS"/>
        </xsd:restriction>
      </xsd:simpleType>
    </xsd:element>
    <xsd:element name="Approval_x0020_type" ma:index="13" nillable="true" ma:displayName="Approval type" ma:format="Dropdown" ma:internalName="Approval_x0020_type">
      <xsd:simpleType>
        <xsd:restriction base="dms:Choice">
          <xsd:enumeration value="Exd"/>
          <xsd:enumeration value="Exia"/>
          <xsd:enumeration value="Type-n"/>
          <xsd:enumeration value="dustproof"/>
        </xsd:restriction>
      </xsd:simpleType>
    </xsd:element>
    <xsd:element name="Communication" ma:index="14" nillable="true" ma:displayName="Communication" ma:internalName="Communic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rain"/>
                    <xsd:enumeration value="HART"/>
                    <xsd:enumeration value="FF"/>
                    <xsd:enumeration value="Wireless"/>
                    <xsd:enumeration value="Profibus"/>
                    <xsd:enumeration value="Modbus"/>
                  </xsd:restriction>
                </xsd:simpleType>
              </xsd:element>
            </xsd:sequence>
          </xsd:extension>
        </xsd:complexContent>
      </xsd:complexType>
    </xsd:element>
    <xsd:element name="Notes1" ma:index="15" nillable="true" ma:displayName="Notes" ma:internalName="Notes1">
      <xsd:simpleType>
        <xsd:restriction base="dms:Note">
          <xsd:maxLength value="255"/>
        </xsd:restriction>
      </xsd:simpleType>
    </xsd:element>
    <xsd:element name="Remarks" ma:index="16" nillable="true" ma:displayName="Remarks" ma:internalName="Remarks">
      <xsd:simpleType>
        <xsd:restriction base="dms:Note">
          <xsd:maxLength value="255"/>
        </xsd:restriction>
      </xsd:simpleType>
    </xsd:element>
    <xsd:element name="ProductTaxHTField0" ma:index="20" ma:taxonomy="true" ma:internalName="ProductTaxHTField0" ma:taxonomyFieldName="Product" ma:displayName="Product" ma:default="" ma:fieldId="{52705b1e-d203-4f0a-9b7c-fd4d6d996933}" ma:taxonomyMulti="true" ma:sspId="c74bfbe4-9465-49e0-b603-cb6dc977eae2" ma:termSetId="a2f66cac-b3e7-469e-b403-41956701dab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分類の集約列" ma:hidden="true" ma:list="{37e32ebd-b8b1-43c5-91f1-3c879b3b058e}" ma:internalName="TaxCatchAll" ma:showField="CatchAllData" ma:web="efb43a13-a865-40c9-8f81-00b74718f1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2" nillable="true" ma:displayName="分類の集約列1" ma:hidden="true" ma:list="{37e32ebd-b8b1-43c5-91f1-3c879b3b058e}" ma:internalName="TaxCatchAllLabel" ma:readOnly="true" ma:showField="CatchAllDataLabel" ma:web="efb43a13-a865-40c9-8f81-00b74718f1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Content Type"/>
        <xsd:element ref="dc:title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ed_x0020_on xmlns="efb43a13-a865-40c9-8f81-00b74718f17a">2017-06-18T15:00:00+00:00</Published_x0020_on>
    <Provided_x0020_by xmlns="efb43a13-a865-40c9-8f81-00b74718f17a">YHQ</Provided_x0020_by>
    <Remarks xmlns="efb43a13-a865-40c9-8f81-00b74718f17a">Made by YCA Sam Hassan GVP-Flow
Approved by Mr.Kusuyama in Flow Dept. of YHQ</Remarks>
    <Division xmlns="efb43a13-a865-40c9-8f81-00b74718f17a">
      <Value>Field</Value>
    </Division>
    <Lang xmlns="efb43a13-a865-40c9-8f81-00b74718f17a">
      <Value>English</Value>
    </Lang>
    <Target_x0020_audience xmlns="efb43a13-a865-40c9-8f81-00b74718f17a">
      <Value>Internal</Value>
    </Target_x0020_audience>
    <Solution_x0020_package xmlns="efb43a13-a865-40c9-8f81-00b74718f17a">
      <Value>GVP materials</Value>
    </Solution_x0020_package>
    <TaxCatchAll xmlns="efb43a13-a865-40c9-8f81-00b74718f17a">
      <Value>142</Value>
      <Value>207</Value>
      <Value>261</Value>
    </TaxCatchAll>
    <ProductTaxHTField0 xmlns="efb43a13-a865-40c9-8f81-00b74718f17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AXF</TermName>
          <TermId xmlns="http://schemas.microsoft.com/office/infopath/2007/PartnerControls">dc630a3b-3e71-4ca8-b115-c4edff8de9d2</TermId>
        </TermInfo>
        <TermInfo xmlns="http://schemas.microsoft.com/office/infopath/2007/PartnerControls">
          <TermName xmlns="http://schemas.microsoft.com/office/infopath/2007/PartnerControls">AXG</TermName>
          <TermId xmlns="http://schemas.microsoft.com/office/infopath/2007/PartnerControls">f0b148e4-2780-4dc6-b4ba-d7e5727caa6c</TermId>
        </TermInfo>
        <TermInfo xmlns="http://schemas.microsoft.com/office/infopath/2007/PartnerControls">
          <TermName xmlns="http://schemas.microsoft.com/office/infopath/2007/PartnerControls">AXW</TermName>
          <TermId xmlns="http://schemas.microsoft.com/office/infopath/2007/PartnerControls">4c09d14b-4edc-4f8e-9422-3dbcce10f785</TermId>
        </TermInfo>
      </Terms>
    </ProductTaxHTField0>
    <Notes1 xmlns="efb43a13-a865-40c9-8f81-00b74718f17a">Version 7.2_170419</Notes1>
    <Approval_x0020_type xmlns="efb43a13-a865-40c9-8f81-00b74718f17a" xsi:nil="true"/>
    <Ver. xmlns="efb43a13-a865-40c9-8f81-00b74718f17a" xsi:nil="true"/>
    <Update_x0020_listing xmlns="efb43a13-a865-40c9-8f81-00b74718f17a">false</Update_x0020_listing>
    <Communication xmlns="efb43a13-a865-40c9-8f81-00b74718f17a"/>
    <Approvals xmlns="efb43a13-a865-40c9-8f81-00b74718f17a" xsi:nil="true"/>
    <Document_x0020_type xmlns="efb43a13-a865-40c9-8f81-00b74718f17a">01. Presentation</Document_x0020_type>
  </documentManagement>
</p:properties>
</file>

<file path=customXml/itemProps1.xml><?xml version="1.0" encoding="utf-8"?>
<ds:datastoreItem xmlns:ds="http://schemas.openxmlformats.org/officeDocument/2006/customXml" ds:itemID="{9AD0D584-176F-4ABB-8386-C6A64C2895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b43a13-a865-40c9-8f81-00b74718f1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FC42F5-C106-4404-A1F7-273DCC468C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CF54F5-458A-40E4-B752-1D860640F330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efb43a13-a865-40c9-8f81-00b74718f17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</vt:i4>
      </vt:variant>
    </vt:vector>
  </HeadingPairs>
  <TitlesOfParts>
    <vt:vector size="8" baseType="lpstr">
      <vt:lpstr>Accuracy Statement</vt:lpstr>
      <vt:lpstr>Area Calc for Velocity value</vt:lpstr>
      <vt:lpstr>AXF Calculator</vt:lpstr>
      <vt:lpstr>'Accuracy Statement'!Print_Area</vt:lpstr>
      <vt:lpstr>'Area Calc for Velocity value'!Print_Area</vt:lpstr>
      <vt:lpstr>Productlist</vt:lpstr>
      <vt:lpstr>productlist1</vt:lpstr>
      <vt:lpstr>size</vt:lpstr>
    </vt:vector>
  </TitlesOfParts>
  <Company>YCA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Magnetic flowmeter error calculator_AXF AXG AXW</dc:title>
  <dc:subject>Magnetic flowmeter error calculator_AXF AXG AXW</dc:subject>
  <dc:creator>Sam Hassan</dc:creator>
  <cp:lastModifiedBy>Bai, Jian</cp:lastModifiedBy>
  <cp:lastPrinted>2019-08-05T14:38:23Z</cp:lastPrinted>
  <dcterms:created xsi:type="dcterms:W3CDTF">2009-06-26T13:48:31Z</dcterms:created>
  <dcterms:modified xsi:type="dcterms:W3CDTF">2019-08-05T14:38:30Z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0x01010044D7D258A135F148BEB2D19AFB08B430003C48F13D0B03D54F91233E6293D0A461</vt:lpwstr>
  </property>
  <property fmtid="{D5CDD505-2E9C-101B-9397-08002B2CF9AE}" pid="3" name="Application type">
    <vt:lpwstr>Application notes</vt:lpwstr>
  </property>
  <property fmtid="{D5CDD505-2E9C-101B-9397-08002B2CF9AE}" pid="4" name="IndustryTaxHTField0">
    <vt:lpwstr/>
  </property>
  <property fmtid="{D5CDD505-2E9C-101B-9397-08002B2CF9AE}" pid="5" name="Product">
    <vt:lpwstr>142;#AXF|dc630a3b-3e71-4ca8-b115-c4edff8de9d2;#261;#AXG|f0b148e4-2780-4dc6-b4ba-d7e5727caa6c;#207;#AXW|4c09d14b-4edc-4f8e-9422-3dbcce10f785</vt:lpwstr>
  </property>
  <property fmtid="{D5CDD505-2E9C-101B-9397-08002B2CF9AE}" pid="6" name="Industry">
    <vt:lpwstr/>
  </property>
</Properties>
</file>